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updateLinks="never"/>
  <mc:AlternateContent xmlns:mc="http://schemas.openxmlformats.org/markup-compatibility/2006">
    <mc:Choice Requires="x15">
      <x15ac:absPath xmlns:x15ac="http://schemas.microsoft.com/office/spreadsheetml/2010/11/ac" url="C:\Users\Denis\Desktop\Judo\Interreg\Aktionen\2019.09.29 EOpen2019 LUX\Departments\Accreditation\bearbeiten\gesendet\beste Version\"/>
    </mc:Choice>
  </mc:AlternateContent>
  <xr:revisionPtr revIDLastSave="0" documentId="13_ncr:1_{85A9773A-57C3-4ADE-810D-D70D517F6A4E}" xr6:coauthVersionLast="43" xr6:coauthVersionMax="43" xr10:uidLastSave="{00000000-0000-0000-0000-000000000000}"/>
  <workbookProtection workbookAlgorithmName="SHA-512" workbookHashValue="7uRk76mo137a1X03ObIVKv7HXdqzyxEHZHrmbaN9xqk90n+yfALYje4jsjFJeYs80UkJXQ1Y6KEJZzP706kuHQ==" workbookSaltValue="cGtVGDZWpGy+OhF9VPAmNA==" workbookSpinCount="100000" lockStructure="1"/>
  <bookViews>
    <workbookView xWindow="-108" yWindow="-108" windowWidth="23256" windowHeight="12576" xr2:uid="{00000000-000D-0000-FFFF-FFFF00000000}"/>
  </bookViews>
  <sheets>
    <sheet name="Data entry form" sheetId="3" r:id="rId1"/>
    <sheet name="Check your data" sheetId="4" r:id="rId2"/>
    <sheet name="Proforma Invoice" sheetId="5" r:id="rId3"/>
    <sheet name="Invoice" sheetId="6" state="hidden" r:id="rId4"/>
    <sheet name="Parameters" sheetId="2" state="hidden" r:id="rId5"/>
  </sheets>
  <externalReferences>
    <externalReference r:id="rId6"/>
  </externalReferences>
  <definedNames>
    <definedName name="_xlnm._FilterDatabase" localSheetId="0" hidden="1">'Data entry form'!$B$18:$AK$49</definedName>
    <definedName name="AccreditationFee" localSheetId="4">Parameters!$AS$3</definedName>
    <definedName name="AJU">Parameters!$AQ$3</definedName>
    <definedName name="Alvisse">Parameters!$W$5:$W$6</definedName>
    <definedName name="ContFede">'Data entry form'!$C$5</definedName>
    <definedName name="Coque">Parameters!$W$27:$W$28</definedName>
    <definedName name="dbCheckInListe">INDIRECT(Parameters!$BC$3)</definedName>
    <definedName name="EJU" localSheetId="4">Parameters!$AQ$5</definedName>
    <definedName name="EJUEntryFee" localSheetId="4">Parameters!$AS$6</definedName>
    <definedName name="Error1">Parameters!$Q$20</definedName>
    <definedName name="Federation">'Data entry form'!$C$3</definedName>
    <definedName name="Hilton">Parameters!$W$3:$W$4</definedName>
    <definedName name="Hostel">Parameters!$W$29:$W$31</definedName>
    <definedName name="HotelEJO">'Data entry form'!$D$12</definedName>
    <definedName name="HotelTC">'Data entry form'!$D$13</definedName>
    <definedName name="Ibis">Parameters!$W$7:$W$9</definedName>
    <definedName name="JUA">Parameters!$AQ$4</definedName>
    <definedName name="lstArrivalDate" localSheetId="3">tblArrivalDates[ArrivalDate]</definedName>
    <definedName name="lstArrivalDate">tblArrivalDates[ArrivalDate]</definedName>
    <definedName name="lstContinent" localSheetId="3">tblContinent[]</definedName>
    <definedName name="lstContinent">tblContinent[]</definedName>
    <definedName name="lstDepartureDate" localSheetId="3">tblDepartureDates[DepartureDate]</definedName>
    <definedName name="lstDepartureDate">tblDepartureDates[DepartureDate]</definedName>
    <definedName name="lstHotels" localSheetId="3">tblHotels[]</definedName>
    <definedName name="lstHotels">tblHotels[]</definedName>
    <definedName name="lstHotelsEJO" localSheetId="3">tblHotelsEJO[]</definedName>
    <definedName name="lstHotelsEJO">tblHotelsEJO[]</definedName>
    <definedName name="lstHotelsTC" localSheetId="3">tblHotelsTC[]</definedName>
    <definedName name="lstHotelsTC">tblHotelsTC[]</definedName>
    <definedName name="lstLocomotionType" localSheetId="3">tblLocomotionTypes[LocomotionType]</definedName>
    <definedName name="lstLocomotionType">tblLocomotionTypes[LocomotionType]</definedName>
    <definedName name="lstMealTypesEJO" localSheetId="3">tblMealTypesEJO[]</definedName>
    <definedName name="lstMealTypesEJO">tblMealTypesEJO[]</definedName>
    <definedName name="lstMealTypesTC" localSheetId="3">tblMealTypesTC[]</definedName>
    <definedName name="lstMealTypesTC">tblMealTypesTC[]</definedName>
    <definedName name="lstRoomAndLodging" localSheetId="3">tblRoomAndLodgings[Code]</definedName>
    <definedName name="lstRoomAndLodging">tblRoomAndLodgings[Code]</definedName>
    <definedName name="lstRoomPricesEJO" localSheetId="3">tblRoomPricesEJO[Code]</definedName>
    <definedName name="lstRoomPricesEJO">tblRoomPricesEJO[Code]</definedName>
    <definedName name="lstRoomPricesSunda" localSheetId="3">tblRoomPricesSunday[Code]</definedName>
    <definedName name="lstRoomPricesSunda">tblRoomPricesSunday[Code]</definedName>
    <definedName name="lstRoomPricesTC" localSheetId="3">tblRoomPricesTC[Code]</definedName>
    <definedName name="lstRoomPricesTC">tblRoomPricesTC[Code]</definedName>
    <definedName name="lstRoomTypes" localSheetId="3">tblRoomTypes[]</definedName>
    <definedName name="lstRoomTypes">tblRoomTypes[]</definedName>
    <definedName name="lstTransferLocation" localSheetId="3">Invoice!lstYesNo</definedName>
    <definedName name="lstTransferLocation">lstYesNo</definedName>
    <definedName name="lstTravelLocation" localSheetId="3">tblTravelLocations[TravelLocation]</definedName>
    <definedName name="lstTravelLocation">tblTravelLocations[TravelLocation]</definedName>
    <definedName name="lstWeightOrFunctionCategory" localSheetId="3">tblWeightOrFunction[Category]</definedName>
    <definedName name="lstWeightOrFunctionCategory">tblWeightOrFunction[Category]</definedName>
    <definedName name="lstYesNo" localSheetId="3">tblTrainingCamp[TrainingCamp]</definedName>
    <definedName name="lstYesNo">tblTrainingCamp[TrainingCamp]</definedName>
    <definedName name="OJU">Parameters!$AQ$6</definedName>
    <definedName name="Other">Parameters!$AQ$8</definedName>
    <definedName name="PJC">Parameters!$AQ$7</definedName>
    <definedName name="SelectedCategory">'Data entry form'!$G$16</definedName>
    <definedName name="tblData">'Data entry form'!$B$19:$BJ$49</definedName>
    <definedName name="TCAccredFee">Parameters!$AS$9</definedName>
    <definedName name="TCAccreditationFee">Parameters!$AS$16</definedName>
    <definedName name="TCFeeEJU" localSheetId="4">Parameters!$AT$3</definedName>
    <definedName name="TCFeeNonEJU" localSheetId="4">Parameters!$AU$3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21" i="3" l="1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47" i="3"/>
  <c r="AN48" i="3"/>
  <c r="AN49" i="3"/>
  <c r="AN20" i="3"/>
  <c r="AM21" i="3" l="1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R20" i="3" l="1"/>
  <c r="AS20" i="3"/>
  <c r="AT20" i="3"/>
  <c r="AU20" i="3"/>
  <c r="AV20" i="3"/>
  <c r="AW20" i="3"/>
  <c r="AX20" i="3"/>
  <c r="AY20" i="3"/>
  <c r="AZ20" i="3"/>
  <c r="BC20" i="3"/>
  <c r="BD20" i="3"/>
  <c r="BE20" i="3"/>
  <c r="BF20" i="3"/>
  <c r="BG20" i="3"/>
  <c r="BH20" i="3"/>
  <c r="BI20" i="3"/>
  <c r="BJ20" i="3"/>
  <c r="BK20" i="3"/>
  <c r="BL20" i="3"/>
  <c r="BM20" i="3"/>
  <c r="BP20" i="3"/>
  <c r="BQ20" i="3"/>
  <c r="BR20" i="3"/>
  <c r="BW20" i="3"/>
  <c r="BX20" i="3"/>
  <c r="AR21" i="3"/>
  <c r="AS21" i="3"/>
  <c r="AT21" i="3"/>
  <c r="AU21" i="3"/>
  <c r="AV21" i="3"/>
  <c r="AW21" i="3"/>
  <c r="AX21" i="3"/>
  <c r="AY21" i="3"/>
  <c r="AZ21" i="3"/>
  <c r="BC21" i="3"/>
  <c r="BD21" i="3"/>
  <c r="BE21" i="3"/>
  <c r="BF21" i="3"/>
  <c r="BG21" i="3"/>
  <c r="BH21" i="3"/>
  <c r="BI21" i="3"/>
  <c r="BJ21" i="3"/>
  <c r="BK21" i="3"/>
  <c r="BL21" i="3"/>
  <c r="BM21" i="3"/>
  <c r="BP21" i="3"/>
  <c r="BQ21" i="3"/>
  <c r="BR21" i="3"/>
  <c r="BW21" i="3"/>
  <c r="BX21" i="3"/>
  <c r="AL22" i="3"/>
  <c r="AR22" i="3"/>
  <c r="AS22" i="3"/>
  <c r="AT22" i="3"/>
  <c r="AU22" i="3"/>
  <c r="AV22" i="3"/>
  <c r="AW22" i="3"/>
  <c r="AX22" i="3"/>
  <c r="AY22" i="3"/>
  <c r="AZ22" i="3"/>
  <c r="BC22" i="3"/>
  <c r="BD22" i="3"/>
  <c r="BE22" i="3"/>
  <c r="BF22" i="3"/>
  <c r="BG22" i="3"/>
  <c r="BH22" i="3"/>
  <c r="BI22" i="3"/>
  <c r="BJ22" i="3"/>
  <c r="BK22" i="3"/>
  <c r="BL22" i="3"/>
  <c r="BM22" i="3"/>
  <c r="BP22" i="3"/>
  <c r="BQ22" i="3"/>
  <c r="BR22" i="3"/>
  <c r="BW22" i="3"/>
  <c r="BX22" i="3"/>
  <c r="AR23" i="3"/>
  <c r="AS23" i="3"/>
  <c r="AT23" i="3"/>
  <c r="AU23" i="3"/>
  <c r="AV23" i="3"/>
  <c r="AW23" i="3"/>
  <c r="AX23" i="3"/>
  <c r="AY23" i="3"/>
  <c r="AZ23" i="3"/>
  <c r="BC23" i="3"/>
  <c r="BD23" i="3"/>
  <c r="BE23" i="3"/>
  <c r="BF23" i="3"/>
  <c r="BG23" i="3"/>
  <c r="BH23" i="3"/>
  <c r="BI23" i="3"/>
  <c r="BJ23" i="3"/>
  <c r="BK23" i="3"/>
  <c r="BL23" i="3"/>
  <c r="BM23" i="3"/>
  <c r="BP23" i="3"/>
  <c r="BQ23" i="3"/>
  <c r="BR23" i="3"/>
  <c r="BW23" i="3"/>
  <c r="BX23" i="3"/>
  <c r="AL23" i="3" l="1"/>
  <c r="H37" i="6"/>
  <c r="A37" i="6"/>
  <c r="F33" i="6"/>
  <c r="E33" i="6"/>
  <c r="B33" i="6"/>
  <c r="F32" i="6"/>
  <c r="B32" i="6"/>
  <c r="E30" i="6"/>
  <c r="B30" i="6"/>
  <c r="E29" i="6"/>
  <c r="B29" i="6"/>
  <c r="F28" i="6"/>
  <c r="E28" i="6"/>
  <c r="B28" i="6"/>
  <c r="G26" i="6"/>
  <c r="H26" i="6" s="1"/>
  <c r="F26" i="6"/>
  <c r="E26" i="6"/>
  <c r="B26" i="6"/>
  <c r="E25" i="6"/>
  <c r="B25" i="6"/>
  <c r="E24" i="6"/>
  <c r="B24" i="6"/>
  <c r="G24" i="6" s="1"/>
  <c r="E23" i="6"/>
  <c r="G23" i="6" s="1"/>
  <c r="E22" i="6"/>
  <c r="B22" i="6"/>
  <c r="E21" i="6"/>
  <c r="G21" i="6" s="1"/>
  <c r="H17" i="6"/>
  <c r="A11" i="6"/>
  <c r="AL20" i="3" l="1"/>
  <c r="G25" i="6"/>
  <c r="G22" i="6"/>
  <c r="F25" i="6"/>
  <c r="F21" i="6"/>
  <c r="H21" i="6" s="1"/>
  <c r="F23" i="6"/>
  <c r="H23" i="6" s="1"/>
  <c r="B33" i="5"/>
  <c r="F32" i="5"/>
  <c r="B32" i="5"/>
  <c r="H25" i="6" l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E19" i="2"/>
  <c r="A20" i="2"/>
  <c r="E20" i="2"/>
  <c r="A21" i="2"/>
  <c r="E21" i="2"/>
  <c r="A22" i="2"/>
  <c r="E22" i="2"/>
  <c r="A23" i="2"/>
  <c r="E23" i="2"/>
  <c r="A24" i="2"/>
  <c r="E24" i="2"/>
  <c r="A25" i="2"/>
  <c r="E25" i="2"/>
  <c r="A26" i="2"/>
  <c r="E26" i="2"/>
  <c r="F28" i="5" l="1"/>
  <c r="F33" i="5"/>
  <c r="E33" i="5"/>
  <c r="B28" i="5"/>
  <c r="E28" i="5"/>
  <c r="E29" i="5"/>
  <c r="E25" i="5"/>
  <c r="E23" i="5"/>
  <c r="F23" i="5" s="1"/>
  <c r="E21" i="5"/>
  <c r="F21" i="5" s="1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L46" i="3"/>
  <c r="AL47" i="3"/>
  <c r="AL48" i="3"/>
  <c r="AL49" i="3"/>
  <c r="E30" i="5"/>
  <c r="B30" i="5"/>
  <c r="B29" i="5"/>
  <c r="B22" i="5"/>
  <c r="E24" i="5"/>
  <c r="B24" i="5"/>
  <c r="E22" i="5"/>
  <c r="G24" i="5" l="1"/>
  <c r="G22" i="5"/>
  <c r="BQ24" i="3"/>
  <c r="BQ25" i="3"/>
  <c r="BQ26" i="3"/>
  <c r="BQ27" i="3"/>
  <c r="BQ28" i="3"/>
  <c r="BQ29" i="3"/>
  <c r="BQ30" i="3"/>
  <c r="BQ31" i="3"/>
  <c r="BQ32" i="3"/>
  <c r="BQ33" i="3"/>
  <c r="BQ34" i="3"/>
  <c r="BQ35" i="3"/>
  <c r="BQ36" i="3"/>
  <c r="BQ37" i="3"/>
  <c r="BQ38" i="3"/>
  <c r="BQ39" i="3"/>
  <c r="BQ40" i="3"/>
  <c r="BQ41" i="3"/>
  <c r="BQ42" i="3"/>
  <c r="BQ43" i="3"/>
  <c r="BQ44" i="3"/>
  <c r="BQ45" i="3"/>
  <c r="BQ46" i="3"/>
  <c r="BQ47" i="3"/>
  <c r="BQ48" i="3"/>
  <c r="BQ49" i="3"/>
  <c r="BP24" i="3"/>
  <c r="BP25" i="3"/>
  <c r="BP26" i="3"/>
  <c r="BP27" i="3"/>
  <c r="BP28" i="3"/>
  <c r="BP29" i="3"/>
  <c r="BP30" i="3"/>
  <c r="BP31" i="3"/>
  <c r="BP32" i="3"/>
  <c r="BP33" i="3"/>
  <c r="BP34" i="3"/>
  <c r="BP35" i="3"/>
  <c r="BP36" i="3"/>
  <c r="BP37" i="3"/>
  <c r="BP38" i="3"/>
  <c r="BP39" i="3"/>
  <c r="BP40" i="3"/>
  <c r="BP41" i="3"/>
  <c r="BP42" i="3"/>
  <c r="BP43" i="3"/>
  <c r="BP44" i="3"/>
  <c r="BP45" i="3"/>
  <c r="BP46" i="3"/>
  <c r="BP47" i="3"/>
  <c r="BP48" i="3"/>
  <c r="BP49" i="3"/>
  <c r="BK24" i="3"/>
  <c r="BL24" i="3"/>
  <c r="BM24" i="3"/>
  <c r="BK25" i="3"/>
  <c r="BL25" i="3"/>
  <c r="BM25" i="3"/>
  <c r="BK26" i="3"/>
  <c r="BL26" i="3"/>
  <c r="BM26" i="3"/>
  <c r="BK27" i="3"/>
  <c r="BL27" i="3"/>
  <c r="BM27" i="3"/>
  <c r="BK28" i="3"/>
  <c r="BL28" i="3"/>
  <c r="BM28" i="3"/>
  <c r="BK29" i="3"/>
  <c r="BL29" i="3"/>
  <c r="BM29" i="3"/>
  <c r="BK30" i="3"/>
  <c r="BL30" i="3"/>
  <c r="BM30" i="3"/>
  <c r="BK31" i="3"/>
  <c r="BL31" i="3"/>
  <c r="BM31" i="3"/>
  <c r="BK32" i="3"/>
  <c r="BL32" i="3"/>
  <c r="BM32" i="3"/>
  <c r="BK33" i="3"/>
  <c r="BL33" i="3"/>
  <c r="BM33" i="3"/>
  <c r="BK34" i="3"/>
  <c r="BL34" i="3"/>
  <c r="BM34" i="3"/>
  <c r="BK35" i="3"/>
  <c r="BL35" i="3"/>
  <c r="BM35" i="3"/>
  <c r="BK36" i="3"/>
  <c r="BL36" i="3"/>
  <c r="BM36" i="3"/>
  <c r="BK37" i="3"/>
  <c r="BL37" i="3"/>
  <c r="BM37" i="3"/>
  <c r="BK38" i="3"/>
  <c r="BL38" i="3"/>
  <c r="BM38" i="3"/>
  <c r="BK39" i="3"/>
  <c r="BL39" i="3"/>
  <c r="BM39" i="3"/>
  <c r="BK40" i="3"/>
  <c r="BL40" i="3"/>
  <c r="BM40" i="3"/>
  <c r="BK41" i="3"/>
  <c r="BL41" i="3"/>
  <c r="BM41" i="3"/>
  <c r="BK42" i="3"/>
  <c r="BL42" i="3"/>
  <c r="BM42" i="3"/>
  <c r="BK43" i="3"/>
  <c r="BL43" i="3"/>
  <c r="BM43" i="3"/>
  <c r="BK44" i="3"/>
  <c r="BL44" i="3"/>
  <c r="BM44" i="3"/>
  <c r="BK45" i="3"/>
  <c r="BL45" i="3"/>
  <c r="BM45" i="3"/>
  <c r="BK46" i="3"/>
  <c r="BL46" i="3"/>
  <c r="BM46" i="3"/>
  <c r="BK47" i="3"/>
  <c r="BL47" i="3"/>
  <c r="BM47" i="3"/>
  <c r="BK48" i="3"/>
  <c r="BL48" i="3"/>
  <c r="BM48" i="3"/>
  <c r="BK49" i="3"/>
  <c r="BL49" i="3"/>
  <c r="BM49" i="3"/>
  <c r="F26" i="5"/>
  <c r="B25" i="5"/>
  <c r="F25" i="5" s="1"/>
  <c r="B26" i="5"/>
  <c r="E26" i="5"/>
  <c r="G26" i="5" s="1"/>
  <c r="H26" i="5" s="1"/>
  <c r="C12" i="4"/>
  <c r="AR24" i="3"/>
  <c r="AS24" i="3"/>
  <c r="AT24" i="3"/>
  <c r="AU24" i="3"/>
  <c r="AV24" i="3"/>
  <c r="AW24" i="3"/>
  <c r="AR25" i="3"/>
  <c r="AS25" i="3"/>
  <c r="AT25" i="3"/>
  <c r="AU25" i="3"/>
  <c r="AV25" i="3"/>
  <c r="AW25" i="3"/>
  <c r="AR26" i="3"/>
  <c r="AS26" i="3"/>
  <c r="AT26" i="3"/>
  <c r="AU26" i="3"/>
  <c r="AV26" i="3"/>
  <c r="AW26" i="3"/>
  <c r="AR27" i="3"/>
  <c r="AS27" i="3"/>
  <c r="AT27" i="3"/>
  <c r="AU27" i="3"/>
  <c r="AV27" i="3"/>
  <c r="AW27" i="3"/>
  <c r="AR28" i="3"/>
  <c r="AS28" i="3"/>
  <c r="AT28" i="3"/>
  <c r="AU28" i="3"/>
  <c r="AV28" i="3"/>
  <c r="AW28" i="3"/>
  <c r="AR29" i="3"/>
  <c r="AS29" i="3"/>
  <c r="AT29" i="3"/>
  <c r="AU29" i="3"/>
  <c r="AV29" i="3"/>
  <c r="AW29" i="3"/>
  <c r="AR30" i="3"/>
  <c r="AS30" i="3"/>
  <c r="AT30" i="3"/>
  <c r="AU30" i="3"/>
  <c r="AV30" i="3"/>
  <c r="AW30" i="3"/>
  <c r="AR31" i="3"/>
  <c r="AS31" i="3"/>
  <c r="AT31" i="3"/>
  <c r="AU31" i="3"/>
  <c r="AV31" i="3"/>
  <c r="AW31" i="3"/>
  <c r="AR32" i="3"/>
  <c r="AS32" i="3"/>
  <c r="AT32" i="3"/>
  <c r="AU32" i="3"/>
  <c r="AV32" i="3"/>
  <c r="AW32" i="3"/>
  <c r="AR33" i="3"/>
  <c r="AS33" i="3"/>
  <c r="AT33" i="3"/>
  <c r="AU33" i="3"/>
  <c r="AV33" i="3"/>
  <c r="AW33" i="3"/>
  <c r="AR34" i="3"/>
  <c r="AS34" i="3"/>
  <c r="AT34" i="3"/>
  <c r="AU34" i="3"/>
  <c r="AV34" i="3"/>
  <c r="AW34" i="3"/>
  <c r="AR35" i="3"/>
  <c r="AS35" i="3"/>
  <c r="AT35" i="3"/>
  <c r="AU35" i="3"/>
  <c r="AV35" i="3"/>
  <c r="AW35" i="3"/>
  <c r="AR36" i="3"/>
  <c r="AS36" i="3"/>
  <c r="AT36" i="3"/>
  <c r="AU36" i="3"/>
  <c r="AV36" i="3"/>
  <c r="AW36" i="3"/>
  <c r="AR37" i="3"/>
  <c r="AS37" i="3"/>
  <c r="AT37" i="3"/>
  <c r="AU37" i="3"/>
  <c r="AV37" i="3"/>
  <c r="AW37" i="3"/>
  <c r="AR38" i="3"/>
  <c r="AS38" i="3"/>
  <c r="AT38" i="3"/>
  <c r="AU38" i="3"/>
  <c r="AV38" i="3"/>
  <c r="AW38" i="3"/>
  <c r="AR39" i="3"/>
  <c r="AS39" i="3"/>
  <c r="AT39" i="3"/>
  <c r="AU39" i="3"/>
  <c r="AV39" i="3"/>
  <c r="AW39" i="3"/>
  <c r="AR40" i="3"/>
  <c r="AS40" i="3"/>
  <c r="AT40" i="3"/>
  <c r="AU40" i="3"/>
  <c r="AV40" i="3"/>
  <c r="AW40" i="3"/>
  <c r="AR41" i="3"/>
  <c r="AS41" i="3"/>
  <c r="AT41" i="3"/>
  <c r="AU41" i="3"/>
  <c r="AV41" i="3"/>
  <c r="AW41" i="3"/>
  <c r="AR42" i="3"/>
  <c r="AS42" i="3"/>
  <c r="AT42" i="3"/>
  <c r="AU42" i="3"/>
  <c r="AV42" i="3"/>
  <c r="AW42" i="3"/>
  <c r="AR43" i="3"/>
  <c r="AS43" i="3"/>
  <c r="AT43" i="3"/>
  <c r="AU43" i="3"/>
  <c r="AV43" i="3"/>
  <c r="AW43" i="3"/>
  <c r="AR44" i="3"/>
  <c r="AS44" i="3"/>
  <c r="AT44" i="3"/>
  <c r="AU44" i="3"/>
  <c r="AV44" i="3"/>
  <c r="AW44" i="3"/>
  <c r="AR45" i="3"/>
  <c r="AS45" i="3"/>
  <c r="AT45" i="3"/>
  <c r="AU45" i="3"/>
  <c r="AV45" i="3"/>
  <c r="AW45" i="3"/>
  <c r="AR46" i="3"/>
  <c r="AS46" i="3"/>
  <c r="AT46" i="3"/>
  <c r="AU46" i="3"/>
  <c r="AV46" i="3"/>
  <c r="AW46" i="3"/>
  <c r="AR47" i="3"/>
  <c r="AS47" i="3"/>
  <c r="AT47" i="3"/>
  <c r="AU47" i="3"/>
  <c r="AV47" i="3"/>
  <c r="AW47" i="3"/>
  <c r="AR48" i="3"/>
  <c r="AS48" i="3"/>
  <c r="AT48" i="3"/>
  <c r="AU48" i="3"/>
  <c r="AV48" i="3"/>
  <c r="AW48" i="3"/>
  <c r="AR49" i="3"/>
  <c r="AS49" i="3"/>
  <c r="AT49" i="3"/>
  <c r="AU49" i="3"/>
  <c r="AV49" i="3"/>
  <c r="AW49" i="3"/>
  <c r="G25" i="5" l="1"/>
  <c r="H25" i="5" s="1"/>
  <c r="A37" i="5"/>
  <c r="G23" i="5"/>
  <c r="G21" i="5"/>
  <c r="A11" i="5"/>
  <c r="H17" i="5" l="1"/>
  <c r="H37" i="5" l="1"/>
  <c r="C20" i="4"/>
  <c r="C18" i="4"/>
  <c r="C17" i="4"/>
  <c r="H18" i="4"/>
  <c r="G18" i="4"/>
  <c r="F18" i="4"/>
  <c r="E18" i="4"/>
  <c r="D18" i="4"/>
  <c r="H17" i="4"/>
  <c r="G17" i="4"/>
  <c r="F17" i="4"/>
  <c r="E17" i="4"/>
  <c r="D17" i="4"/>
  <c r="AB13" i="3"/>
  <c r="H21" i="4"/>
  <c r="G21" i="4"/>
  <c r="F21" i="4"/>
  <c r="E21" i="4"/>
  <c r="D21" i="4"/>
  <c r="C21" i="4"/>
  <c r="H20" i="4"/>
  <c r="G20" i="4"/>
  <c r="F20" i="4"/>
  <c r="E20" i="4"/>
  <c r="D20" i="4"/>
  <c r="H15" i="4"/>
  <c r="G15" i="4"/>
  <c r="F15" i="4"/>
  <c r="E15" i="4"/>
  <c r="D15" i="4"/>
  <c r="C15" i="4"/>
  <c r="H14" i="4"/>
  <c r="G14" i="4"/>
  <c r="F14" i="4"/>
  <c r="E14" i="4"/>
  <c r="D14" i="4"/>
  <c r="C14" i="4"/>
  <c r="C11" i="4"/>
  <c r="E11" i="4"/>
  <c r="F11" i="4"/>
  <c r="G11" i="4"/>
  <c r="H11" i="4"/>
  <c r="E12" i="4"/>
  <c r="F12" i="4"/>
  <c r="G12" i="4"/>
  <c r="H12" i="4"/>
  <c r="D12" i="4"/>
  <c r="D11" i="4"/>
  <c r="A3" i="2"/>
  <c r="A4" i="2"/>
  <c r="D19" i="4" l="1"/>
  <c r="E19" i="4"/>
  <c r="H19" i="4"/>
  <c r="C19" i="4"/>
  <c r="G19" i="4"/>
  <c r="F19" i="4"/>
  <c r="I18" i="4"/>
  <c r="I17" i="4"/>
  <c r="E16" i="4"/>
  <c r="D16" i="4"/>
  <c r="D22" i="4"/>
  <c r="C22" i="4"/>
  <c r="E22" i="4"/>
  <c r="F22" i="4"/>
  <c r="C16" i="4"/>
  <c r="F13" i="4"/>
  <c r="E13" i="4"/>
  <c r="H13" i="4"/>
  <c r="G13" i="4"/>
  <c r="D13" i="4"/>
  <c r="C13" i="4"/>
  <c r="H16" i="4"/>
  <c r="G16" i="4"/>
  <c r="F16" i="4"/>
  <c r="H22" i="4"/>
  <c r="G22" i="4"/>
  <c r="I12" i="4"/>
  <c r="H23" i="4" l="1"/>
  <c r="G23" i="4"/>
  <c r="C23" i="4"/>
  <c r="D23" i="4"/>
  <c r="F23" i="4"/>
  <c r="E23" i="4"/>
  <c r="I19" i="4"/>
  <c r="I22" i="4"/>
  <c r="I16" i="4"/>
  <c r="I11" i="4"/>
  <c r="I21" i="4"/>
  <c r="I20" i="4"/>
  <c r="I15" i="4"/>
  <c r="I14" i="4"/>
  <c r="I13" i="4"/>
  <c r="H10" i="4"/>
  <c r="G10" i="4"/>
  <c r="F10" i="4"/>
  <c r="E10" i="4"/>
  <c r="D10" i="4"/>
  <c r="C10" i="4"/>
  <c r="I23" i="4" l="1"/>
  <c r="AI13" i="3" l="1"/>
  <c r="AI14" i="3" s="1"/>
  <c r="AH13" i="3"/>
  <c r="AH14" i="3" s="1"/>
  <c r="AG13" i="3"/>
  <c r="AG14" i="3" s="1"/>
  <c r="AF13" i="3"/>
  <c r="AD13" i="3"/>
  <c r="AC13" i="3"/>
  <c r="AA13" i="3"/>
  <c r="Z13" i="3"/>
  <c r="AI12" i="3"/>
  <c r="AF12" i="3"/>
  <c r="AD49" i="2"/>
  <c r="AD48" i="2"/>
  <c r="AD47" i="2"/>
  <c r="AX30" i="3"/>
  <c r="AY30" i="3"/>
  <c r="AZ30" i="3"/>
  <c r="AX31" i="3"/>
  <c r="AY31" i="3"/>
  <c r="AZ31" i="3"/>
  <c r="AX32" i="3"/>
  <c r="AY32" i="3"/>
  <c r="AZ32" i="3"/>
  <c r="AX33" i="3"/>
  <c r="AY33" i="3"/>
  <c r="AZ33" i="3"/>
  <c r="AX34" i="3"/>
  <c r="AY34" i="3"/>
  <c r="AZ34" i="3"/>
  <c r="AX35" i="3"/>
  <c r="AY35" i="3"/>
  <c r="AZ35" i="3"/>
  <c r="AX36" i="3"/>
  <c r="AY36" i="3"/>
  <c r="AZ36" i="3"/>
  <c r="AX37" i="3"/>
  <c r="AY37" i="3"/>
  <c r="AZ37" i="3"/>
  <c r="AX38" i="3"/>
  <c r="AY38" i="3"/>
  <c r="AZ38" i="3"/>
  <c r="AX39" i="3"/>
  <c r="AY39" i="3"/>
  <c r="AZ39" i="3"/>
  <c r="AX40" i="3"/>
  <c r="AY40" i="3"/>
  <c r="AZ40" i="3"/>
  <c r="AX41" i="3"/>
  <c r="AY41" i="3"/>
  <c r="AZ41" i="3"/>
  <c r="AX42" i="3"/>
  <c r="AY42" i="3"/>
  <c r="AZ42" i="3"/>
  <c r="AX43" i="3"/>
  <c r="AY43" i="3"/>
  <c r="AZ43" i="3"/>
  <c r="AX44" i="3"/>
  <c r="AY44" i="3"/>
  <c r="AZ44" i="3"/>
  <c r="AX45" i="3"/>
  <c r="AY45" i="3"/>
  <c r="AZ45" i="3"/>
  <c r="AX46" i="3"/>
  <c r="AY46" i="3"/>
  <c r="AZ46" i="3"/>
  <c r="AX47" i="3"/>
  <c r="AY47" i="3"/>
  <c r="AZ47" i="3"/>
  <c r="AX48" i="3"/>
  <c r="AY48" i="3"/>
  <c r="AZ48" i="3"/>
  <c r="AX49" i="3"/>
  <c r="AY49" i="3"/>
  <c r="AZ49" i="3"/>
  <c r="AD39" i="2"/>
  <c r="AD37" i="2"/>
  <c r="AD36" i="2"/>
  <c r="AD35" i="2"/>
  <c r="AD14" i="2"/>
  <c r="AD13" i="2"/>
  <c r="AD12" i="2"/>
  <c r="BC24" i="3"/>
  <c r="AZ25" i="3"/>
  <c r="AY25" i="3"/>
  <c r="BX24" i="3"/>
  <c r="BX25" i="3"/>
  <c r="BX26" i="3"/>
  <c r="BX27" i="3"/>
  <c r="BX28" i="3"/>
  <c r="BX29" i="3"/>
  <c r="BX30" i="3"/>
  <c r="BX31" i="3"/>
  <c r="BX32" i="3"/>
  <c r="BX33" i="3"/>
  <c r="BX34" i="3"/>
  <c r="BX35" i="3"/>
  <c r="BX36" i="3"/>
  <c r="BX37" i="3"/>
  <c r="BX38" i="3"/>
  <c r="BX39" i="3"/>
  <c r="BX40" i="3"/>
  <c r="BX41" i="3"/>
  <c r="BX42" i="3"/>
  <c r="BX43" i="3"/>
  <c r="BX44" i="3"/>
  <c r="BX45" i="3"/>
  <c r="BX46" i="3"/>
  <c r="BX47" i="3"/>
  <c r="BX48" i="3"/>
  <c r="BX49" i="3"/>
  <c r="BW24" i="3"/>
  <c r="BW25" i="3"/>
  <c r="BW26" i="3"/>
  <c r="BW27" i="3"/>
  <c r="BW28" i="3"/>
  <c r="BW29" i="3"/>
  <c r="BW30" i="3"/>
  <c r="BW31" i="3"/>
  <c r="BW32" i="3"/>
  <c r="BW33" i="3"/>
  <c r="BW34" i="3"/>
  <c r="BW35" i="3"/>
  <c r="BW36" i="3"/>
  <c r="BW37" i="3"/>
  <c r="BW38" i="3"/>
  <c r="BW39" i="3"/>
  <c r="BW40" i="3"/>
  <c r="BW41" i="3"/>
  <c r="BW42" i="3"/>
  <c r="BW43" i="3"/>
  <c r="BW44" i="3"/>
  <c r="BW45" i="3"/>
  <c r="BW46" i="3"/>
  <c r="BW47" i="3"/>
  <c r="BW48" i="3"/>
  <c r="BW49" i="3"/>
  <c r="AB49" i="2"/>
  <c r="AB48" i="2"/>
  <c r="AB47" i="2"/>
  <c r="AC48" i="2"/>
  <c r="AC49" i="2"/>
  <c r="AC47" i="2"/>
  <c r="AC39" i="2"/>
  <c r="AB39" i="2" s="1"/>
  <c r="AC37" i="2"/>
  <c r="AC36" i="2"/>
  <c r="AC35" i="2"/>
  <c r="AN3" i="2"/>
  <c r="AN4" i="2"/>
  <c r="AN5" i="2"/>
  <c r="AN6" i="2"/>
  <c r="AC45" i="2"/>
  <c r="AC46" i="2"/>
  <c r="AC44" i="2"/>
  <c r="AB45" i="2"/>
  <c r="AB44" i="2"/>
  <c r="AC13" i="2"/>
  <c r="AB13" i="2" s="1"/>
  <c r="AC14" i="2"/>
  <c r="AC12" i="2"/>
  <c r="AE11" i="2"/>
  <c r="AE8" i="2"/>
  <c r="AE5" i="2"/>
  <c r="AB12" i="2"/>
  <c r="AZ24" i="3" s="1"/>
  <c r="AB14" i="2"/>
  <c r="AB37" i="2"/>
  <c r="AB36" i="2"/>
  <c r="AB35" i="2"/>
  <c r="AD34" i="2"/>
  <c r="AC34" i="2"/>
  <c r="AB34" i="2" s="1"/>
  <c r="AE32" i="2"/>
  <c r="AD32" i="2"/>
  <c r="AC32" i="2"/>
  <c r="AB32" i="2" s="1"/>
  <c r="AD31" i="2"/>
  <c r="AC31" i="2"/>
  <c r="AB31" i="2" s="1"/>
  <c r="AD30" i="2"/>
  <c r="AC30" i="2"/>
  <c r="AB30" i="2"/>
  <c r="AE29" i="2"/>
  <c r="AD29" i="2"/>
  <c r="AD28" i="2"/>
  <c r="AD27" i="2"/>
  <c r="AC27" i="2"/>
  <c r="AB27" i="2" s="1"/>
  <c r="AE26" i="2"/>
  <c r="AD26" i="2"/>
  <c r="AD25" i="2"/>
  <c r="AC25" i="2"/>
  <c r="AC26" i="2" s="1"/>
  <c r="AB26" i="2" s="1"/>
  <c r="AB25" i="2"/>
  <c r="AD24" i="2"/>
  <c r="AC24" i="2"/>
  <c r="AB24" i="2"/>
  <c r="AD5" i="2"/>
  <c r="AD11" i="2"/>
  <c r="AD8" i="2"/>
  <c r="AD10" i="2"/>
  <c r="AD9" i="2"/>
  <c r="AD7" i="2"/>
  <c r="AD6" i="2"/>
  <c r="AD4" i="2"/>
  <c r="AD3" i="2"/>
  <c r="F29" i="5" l="1"/>
  <c r="F29" i="6"/>
  <c r="F30" i="5"/>
  <c r="F30" i="6"/>
  <c r="H21" i="5"/>
  <c r="Z14" i="3"/>
  <c r="AF14" i="3"/>
  <c r="BD30" i="3"/>
  <c r="BD25" i="3"/>
  <c r="BC45" i="3"/>
  <c r="BD44" i="3"/>
  <c r="BC37" i="3"/>
  <c r="BD36" i="3"/>
  <c r="BD45" i="3"/>
  <c r="BD24" i="3"/>
  <c r="BC44" i="3"/>
  <c r="BD43" i="3"/>
  <c r="BC36" i="3"/>
  <c r="BD35" i="3"/>
  <c r="BC29" i="3"/>
  <c r="BC43" i="3"/>
  <c r="BD42" i="3"/>
  <c r="BC35" i="3"/>
  <c r="BD34" i="3"/>
  <c r="BC30" i="3"/>
  <c r="BC28" i="3"/>
  <c r="BD49" i="3"/>
  <c r="BC42" i="3"/>
  <c r="BD41" i="3"/>
  <c r="BC34" i="3"/>
  <c r="BD33" i="3"/>
  <c r="BD26" i="3"/>
  <c r="BC38" i="3"/>
  <c r="BC27" i="3"/>
  <c r="BD29" i="3"/>
  <c r="BC49" i="3"/>
  <c r="BD48" i="3"/>
  <c r="BC41" i="3"/>
  <c r="BD40" i="3"/>
  <c r="BC33" i="3"/>
  <c r="BD32" i="3"/>
  <c r="BC46" i="3"/>
  <c r="BC26" i="3"/>
  <c r="BD28" i="3"/>
  <c r="BC48" i="3"/>
  <c r="BD47" i="3"/>
  <c r="BC40" i="3"/>
  <c r="BD39" i="3"/>
  <c r="BC32" i="3"/>
  <c r="BD31" i="3"/>
  <c r="BD37" i="3"/>
  <c r="BC25" i="3"/>
  <c r="BD27" i="3"/>
  <c r="BC47" i="3"/>
  <c r="BD46" i="3"/>
  <c r="BC39" i="3"/>
  <c r="BD38" i="3"/>
  <c r="BC31" i="3"/>
  <c r="AX28" i="3"/>
  <c r="AX27" i="3"/>
  <c r="AX26" i="3"/>
  <c r="AY29" i="3"/>
  <c r="AZ29" i="3"/>
  <c r="AX25" i="3"/>
  <c r="AY28" i="3"/>
  <c r="AZ28" i="3"/>
  <c r="AX24" i="3"/>
  <c r="AY27" i="3"/>
  <c r="AZ27" i="3"/>
  <c r="AY26" i="3"/>
  <c r="AZ26" i="3"/>
  <c r="AX29" i="3"/>
  <c r="AY24" i="3"/>
  <c r="AO3" i="2"/>
  <c r="AB46" i="2"/>
  <c r="AC28" i="2"/>
  <c r="BR24" i="3"/>
  <c r="BR25" i="3"/>
  <c r="BR26" i="3"/>
  <c r="BR27" i="3"/>
  <c r="BR28" i="3"/>
  <c r="BR29" i="3"/>
  <c r="BR30" i="3"/>
  <c r="BR31" i="3"/>
  <c r="BR32" i="3"/>
  <c r="BR33" i="3"/>
  <c r="BR34" i="3"/>
  <c r="BR35" i="3"/>
  <c r="BR36" i="3"/>
  <c r="BR37" i="3"/>
  <c r="BR38" i="3"/>
  <c r="BR39" i="3"/>
  <c r="BR40" i="3"/>
  <c r="BR41" i="3"/>
  <c r="BR42" i="3"/>
  <c r="BR43" i="3"/>
  <c r="BR44" i="3"/>
  <c r="BR45" i="3"/>
  <c r="BR46" i="3"/>
  <c r="BR47" i="3"/>
  <c r="BR48" i="3"/>
  <c r="BR49" i="3"/>
  <c r="X29" i="2"/>
  <c r="AC12" i="3"/>
  <c r="AE13" i="3" s="1"/>
  <c r="Z12" i="3"/>
  <c r="AA14" i="3"/>
  <c r="H23" i="5" s="1"/>
  <c r="U29" i="2"/>
  <c r="U28" i="2"/>
  <c r="U27" i="2"/>
  <c r="U21" i="2"/>
  <c r="U20" i="2"/>
  <c r="U19" i="2"/>
  <c r="AK19" i="3"/>
  <c r="AJ19" i="3"/>
  <c r="AI19" i="3"/>
  <c r="AH19" i="3"/>
  <c r="AG19" i="3"/>
  <c r="AF19" i="3"/>
  <c r="AE19" i="3"/>
  <c r="AD19" i="3"/>
  <c r="AC19" i="3"/>
  <c r="AB19" i="3"/>
  <c r="AA19" i="3"/>
  <c r="Z19" i="3"/>
  <c r="W37" i="2"/>
  <c r="W38" i="2"/>
  <c r="W39" i="2"/>
  <c r="W45" i="2"/>
  <c r="W46" i="2"/>
  <c r="W47" i="2"/>
  <c r="W48" i="2"/>
  <c r="W24" i="2"/>
  <c r="Y48" i="2"/>
  <c r="Y47" i="2"/>
  <c r="X47" i="2"/>
  <c r="X48" i="2" s="1"/>
  <c r="X45" i="2"/>
  <c r="X46" i="2" s="1"/>
  <c r="X42" i="2"/>
  <c r="X43" i="2" s="1"/>
  <c r="W43" i="2" s="1"/>
  <c r="X40" i="2"/>
  <c r="W40" i="2" s="1"/>
  <c r="X37" i="2"/>
  <c r="X30" i="2"/>
  <c r="X27" i="2"/>
  <c r="W27" i="2" s="1"/>
  <c r="X25" i="2"/>
  <c r="W25" i="2" s="1"/>
  <c r="X24" i="2"/>
  <c r="AO20" i="3" l="1"/>
  <c r="AQ22" i="3"/>
  <c r="AQ20" i="3"/>
  <c r="AQ23" i="3"/>
  <c r="AQ21" i="3"/>
  <c r="AM20" i="3"/>
  <c r="AP21" i="3"/>
  <c r="AO22" i="3"/>
  <c r="BO22" i="3"/>
  <c r="AP22" i="3"/>
  <c r="BO23" i="3"/>
  <c r="AP20" i="3"/>
  <c r="BT20" i="3"/>
  <c r="BN20" i="3" s="1"/>
  <c r="BB21" i="3"/>
  <c r="BT21" i="3"/>
  <c r="BN21" i="3" s="1"/>
  <c r="BB22" i="3"/>
  <c r="BS22" i="3"/>
  <c r="BT22" i="3"/>
  <c r="BB23" i="3"/>
  <c r="BT23" i="3"/>
  <c r="AO21" i="3"/>
  <c r="BO21" i="3"/>
  <c r="AO23" i="3"/>
  <c r="AP23" i="3"/>
  <c r="BS23" i="3"/>
  <c r="BS21" i="3"/>
  <c r="BN22" i="3"/>
  <c r="BN23" i="3"/>
  <c r="BS20" i="3"/>
  <c r="BB20" i="3"/>
  <c r="BO20" i="3"/>
  <c r="AO29" i="3"/>
  <c r="AO49" i="3"/>
  <c r="AO28" i="3"/>
  <c r="AO38" i="3"/>
  <c r="AO46" i="3"/>
  <c r="AO35" i="3"/>
  <c r="AO31" i="3"/>
  <c r="AO39" i="3"/>
  <c r="AO47" i="3"/>
  <c r="AO42" i="3"/>
  <c r="AO36" i="3"/>
  <c r="AO24" i="3"/>
  <c r="AO40" i="3"/>
  <c r="AO48" i="3"/>
  <c r="AO43" i="3"/>
  <c r="AO25" i="3"/>
  <c r="AO44" i="3"/>
  <c r="BO30" i="3"/>
  <c r="BO38" i="3"/>
  <c r="BO46" i="3"/>
  <c r="BB32" i="3"/>
  <c r="BB40" i="3"/>
  <c r="BB48" i="3"/>
  <c r="BB29" i="3"/>
  <c r="BB36" i="3"/>
  <c r="BO27" i="3"/>
  <c r="BB31" i="3"/>
  <c r="BB47" i="3"/>
  <c r="BO31" i="3"/>
  <c r="BO39" i="3"/>
  <c r="BO47" i="3"/>
  <c r="BB33" i="3"/>
  <c r="BB41" i="3"/>
  <c r="BB49" i="3"/>
  <c r="BB44" i="3"/>
  <c r="BO35" i="3"/>
  <c r="BO24" i="3"/>
  <c r="BO32" i="3"/>
  <c r="BO40" i="3"/>
  <c r="BO48" i="3"/>
  <c r="BB34" i="3"/>
  <c r="BB42" i="3"/>
  <c r="BB25" i="3"/>
  <c r="BO43" i="3"/>
  <c r="BB45" i="3"/>
  <c r="BO25" i="3"/>
  <c r="BO33" i="3"/>
  <c r="BO41" i="3"/>
  <c r="BO49" i="3"/>
  <c r="BB35" i="3"/>
  <c r="BB43" i="3"/>
  <c r="BB24" i="3"/>
  <c r="BB39" i="3"/>
  <c r="BO26" i="3"/>
  <c r="BO34" i="3"/>
  <c r="BO42" i="3"/>
  <c r="BB37" i="3"/>
  <c r="BB26" i="3"/>
  <c r="BO28" i="3"/>
  <c r="BO36" i="3"/>
  <c r="BO44" i="3"/>
  <c r="BB30" i="3"/>
  <c r="BB38" i="3"/>
  <c r="BB46" i="3"/>
  <c r="BB27" i="3"/>
  <c r="BO29" i="3"/>
  <c r="BO37" i="3"/>
  <c r="BO45" i="3"/>
  <c r="BB28" i="3"/>
  <c r="BR18" i="3"/>
  <c r="AP30" i="3"/>
  <c r="AP38" i="3"/>
  <c r="AP46" i="3"/>
  <c r="AP24" i="3"/>
  <c r="AP31" i="3"/>
  <c r="AP39" i="3"/>
  <c r="AP47" i="3"/>
  <c r="AP25" i="3"/>
  <c r="AP40" i="3"/>
  <c r="AP26" i="3"/>
  <c r="AP32" i="3"/>
  <c r="AP48" i="3"/>
  <c r="AP27" i="3"/>
  <c r="AP35" i="3"/>
  <c r="AP36" i="3"/>
  <c r="AP33" i="3"/>
  <c r="AP41" i="3"/>
  <c r="AP49" i="3"/>
  <c r="AP44" i="3"/>
  <c r="AP37" i="3"/>
  <c r="AP34" i="3"/>
  <c r="AP42" i="3"/>
  <c r="AP28" i="3"/>
  <c r="AP43" i="3"/>
  <c r="AP29" i="3"/>
  <c r="AP45" i="3"/>
  <c r="BI31" i="3"/>
  <c r="BG32" i="3"/>
  <c r="BE33" i="3"/>
  <c r="BI35" i="3"/>
  <c r="BG36" i="3"/>
  <c r="BE37" i="3"/>
  <c r="BI39" i="3"/>
  <c r="BG40" i="3"/>
  <c r="BE41" i="3"/>
  <c r="BI43" i="3"/>
  <c r="BG44" i="3"/>
  <c r="BE45" i="3"/>
  <c r="BI47" i="3"/>
  <c r="BG48" i="3"/>
  <c r="BE49" i="3"/>
  <c r="BJ31" i="3"/>
  <c r="BH32" i="3"/>
  <c r="BF33" i="3"/>
  <c r="BJ35" i="3"/>
  <c r="BH36" i="3"/>
  <c r="BF37" i="3"/>
  <c r="BJ39" i="3"/>
  <c r="BH40" i="3"/>
  <c r="BF41" i="3"/>
  <c r="BJ43" i="3"/>
  <c r="BH44" i="3"/>
  <c r="BF45" i="3"/>
  <c r="BJ47" i="3"/>
  <c r="BH48" i="3"/>
  <c r="BF49" i="3"/>
  <c r="BE30" i="3"/>
  <c r="BI32" i="3"/>
  <c r="BG33" i="3"/>
  <c r="BE34" i="3"/>
  <c r="BI36" i="3"/>
  <c r="BG37" i="3"/>
  <c r="BE38" i="3"/>
  <c r="BI40" i="3"/>
  <c r="BG41" i="3"/>
  <c r="BE42" i="3"/>
  <c r="BI44" i="3"/>
  <c r="BG45" i="3"/>
  <c r="BE46" i="3"/>
  <c r="BI48" i="3"/>
  <c r="BG49" i="3"/>
  <c r="BF30" i="3"/>
  <c r="BJ32" i="3"/>
  <c r="BH33" i="3"/>
  <c r="BF34" i="3"/>
  <c r="BJ36" i="3"/>
  <c r="BH37" i="3"/>
  <c r="BF38" i="3"/>
  <c r="BJ40" i="3"/>
  <c r="BH41" i="3"/>
  <c r="BF42" i="3"/>
  <c r="BJ44" i="3"/>
  <c r="BH45" i="3"/>
  <c r="BF46" i="3"/>
  <c r="BJ48" i="3"/>
  <c r="BH49" i="3"/>
  <c r="BG30" i="3"/>
  <c r="BE31" i="3"/>
  <c r="BI33" i="3"/>
  <c r="BG34" i="3"/>
  <c r="BE35" i="3"/>
  <c r="BI37" i="3"/>
  <c r="BG38" i="3"/>
  <c r="BE39" i="3"/>
  <c r="BI41" i="3"/>
  <c r="BG42" i="3"/>
  <c r="BE43" i="3"/>
  <c r="BI45" i="3"/>
  <c r="BG46" i="3"/>
  <c r="BE47" i="3"/>
  <c r="BI49" i="3"/>
  <c r="BH30" i="3"/>
  <c r="BF31" i="3"/>
  <c r="BJ33" i="3"/>
  <c r="BH34" i="3"/>
  <c r="BF35" i="3"/>
  <c r="BJ37" i="3"/>
  <c r="BH38" i="3"/>
  <c r="BF39" i="3"/>
  <c r="BJ41" i="3"/>
  <c r="BH42" i="3"/>
  <c r="BF43" i="3"/>
  <c r="BJ45" i="3"/>
  <c r="BH46" i="3"/>
  <c r="BF47" i="3"/>
  <c r="BJ49" i="3"/>
  <c r="BI30" i="3"/>
  <c r="BG31" i="3"/>
  <c r="BE32" i="3"/>
  <c r="BI34" i="3"/>
  <c r="BG35" i="3"/>
  <c r="BE36" i="3"/>
  <c r="BI38" i="3"/>
  <c r="BG39" i="3"/>
  <c r="BE40" i="3"/>
  <c r="BI42" i="3"/>
  <c r="BG43" i="3"/>
  <c r="BE44" i="3"/>
  <c r="BI46" i="3"/>
  <c r="BG47" i="3"/>
  <c r="BE48" i="3"/>
  <c r="BJ34" i="3"/>
  <c r="BF36" i="3"/>
  <c r="BE25" i="3"/>
  <c r="BG26" i="3"/>
  <c r="BI27" i="3"/>
  <c r="BE29" i="3"/>
  <c r="BF25" i="3"/>
  <c r="BJ30" i="3"/>
  <c r="BF32" i="3"/>
  <c r="BH47" i="3"/>
  <c r="BH26" i="3"/>
  <c r="BJ27" i="3"/>
  <c r="BF29" i="3"/>
  <c r="BH43" i="3"/>
  <c r="BE24" i="3"/>
  <c r="BG25" i="3"/>
  <c r="BI26" i="3"/>
  <c r="BE28" i="3"/>
  <c r="BG29" i="3"/>
  <c r="BH28" i="3"/>
  <c r="BJ28" i="3"/>
  <c r="BH39" i="3"/>
  <c r="BF24" i="3"/>
  <c r="BH25" i="3"/>
  <c r="BJ26" i="3"/>
  <c r="BF28" i="3"/>
  <c r="BH29" i="3"/>
  <c r="BF26" i="3"/>
  <c r="BH35" i="3"/>
  <c r="BG24" i="3"/>
  <c r="BI25" i="3"/>
  <c r="BE27" i="3"/>
  <c r="BG28" i="3"/>
  <c r="BI29" i="3"/>
  <c r="BH24" i="3"/>
  <c r="BF27" i="3"/>
  <c r="BH31" i="3"/>
  <c r="BJ46" i="3"/>
  <c r="BF48" i="3"/>
  <c r="BJ25" i="3"/>
  <c r="BJ29" i="3"/>
  <c r="BH27" i="3"/>
  <c r="BJ42" i="3"/>
  <c r="BF44" i="3"/>
  <c r="BI24" i="3"/>
  <c r="BE26" i="3"/>
  <c r="BG27" i="3"/>
  <c r="BI28" i="3"/>
  <c r="BJ38" i="3"/>
  <c r="BF40" i="3"/>
  <c r="BJ24" i="3"/>
  <c r="AO45" i="3"/>
  <c r="AO34" i="3"/>
  <c r="AO37" i="3"/>
  <c r="AO33" i="3"/>
  <c r="AO30" i="3"/>
  <c r="AO41" i="3"/>
  <c r="AO32" i="3"/>
  <c r="AQ29" i="3"/>
  <c r="AQ45" i="3"/>
  <c r="AQ25" i="3"/>
  <c r="AQ30" i="3"/>
  <c r="AQ34" i="3"/>
  <c r="AQ38" i="3"/>
  <c r="AQ42" i="3"/>
  <c r="AQ46" i="3"/>
  <c r="AQ41" i="3"/>
  <c r="AQ49" i="3"/>
  <c r="AQ26" i="3"/>
  <c r="AQ31" i="3"/>
  <c r="AQ35" i="3"/>
  <c r="AQ39" i="3"/>
  <c r="AQ43" i="3"/>
  <c r="AQ47" i="3"/>
  <c r="AQ24" i="3"/>
  <c r="AQ33" i="3"/>
  <c r="AQ27" i="3"/>
  <c r="AQ32" i="3"/>
  <c r="AQ36" i="3"/>
  <c r="AQ40" i="3"/>
  <c r="AQ44" i="3"/>
  <c r="AQ48" i="3"/>
  <c r="AQ28" i="3"/>
  <c r="AQ37" i="3"/>
  <c r="AO27" i="3"/>
  <c r="BS47" i="3"/>
  <c r="BS39" i="3"/>
  <c r="BS31" i="3"/>
  <c r="BS49" i="3"/>
  <c r="BS41" i="3"/>
  <c r="BS33" i="3"/>
  <c r="BS25" i="3"/>
  <c r="BS48" i="3"/>
  <c r="BS40" i="3"/>
  <c r="BS32" i="3"/>
  <c r="BS24" i="3"/>
  <c r="BS46" i="3"/>
  <c r="BS38" i="3"/>
  <c r="BS30" i="3"/>
  <c r="BS45" i="3"/>
  <c r="BS37" i="3"/>
  <c r="BS29" i="3"/>
  <c r="BS44" i="3"/>
  <c r="BS36" i="3"/>
  <c r="BS28" i="3"/>
  <c r="BS43" i="3"/>
  <c r="BS35" i="3"/>
  <c r="BS27" i="3"/>
  <c r="BS42" i="3"/>
  <c r="BS34" i="3"/>
  <c r="BS26" i="3"/>
  <c r="AC29" i="2"/>
  <c r="AB29" i="2" s="1"/>
  <c r="AB28" i="2"/>
  <c r="BT49" i="3"/>
  <c r="BT41" i="3"/>
  <c r="BT33" i="3"/>
  <c r="BT25" i="3"/>
  <c r="BT24" i="3"/>
  <c r="BT47" i="3"/>
  <c r="BT39" i="3"/>
  <c r="BT31" i="3"/>
  <c r="BT34" i="3"/>
  <c r="BT32" i="3"/>
  <c r="BT46" i="3"/>
  <c r="BT38" i="3"/>
  <c r="BT30" i="3"/>
  <c r="BT40" i="3"/>
  <c r="BT45" i="3"/>
  <c r="BT37" i="3"/>
  <c r="BT29" i="3"/>
  <c r="BT42" i="3"/>
  <c r="BT26" i="3"/>
  <c r="BT48" i="3"/>
  <c r="BT44" i="3"/>
  <c r="BT36" i="3"/>
  <c r="BT28" i="3"/>
  <c r="BT43" i="3"/>
  <c r="BT35" i="3"/>
  <c r="BT27" i="3"/>
  <c r="W42" i="2"/>
  <c r="X28" i="2"/>
  <c r="W28" i="2" s="1"/>
  <c r="W29" i="2"/>
  <c r="X44" i="2"/>
  <c r="W44" i="2" s="1"/>
  <c r="X41" i="2"/>
  <c r="W41" i="2" s="1"/>
  <c r="X38" i="2"/>
  <c r="X31" i="2"/>
  <c r="W30" i="2"/>
  <c r="X26" i="2"/>
  <c r="W26" i="2" s="1"/>
  <c r="BA20" i="3" l="1"/>
  <c r="BU20" i="3"/>
  <c r="BV20" i="3"/>
  <c r="BU23" i="3"/>
  <c r="BV23" i="3"/>
  <c r="BA23" i="3"/>
  <c r="BA22" i="3"/>
  <c r="BV22" i="3"/>
  <c r="BU22" i="3"/>
  <c r="BU21" i="3"/>
  <c r="BV21" i="3"/>
  <c r="BA21" i="3"/>
  <c r="AL21" i="3" s="1"/>
  <c r="G32" i="6"/>
  <c r="H32" i="6" s="1"/>
  <c r="G35" i="5"/>
  <c r="H35" i="5" s="1"/>
  <c r="G33" i="6"/>
  <c r="H33" i="6" s="1"/>
  <c r="G36" i="6"/>
  <c r="H36" i="6" s="1"/>
  <c r="G35" i="6"/>
  <c r="H35" i="6" s="1"/>
  <c r="G36" i="5"/>
  <c r="H36" i="5" s="1"/>
  <c r="R16" i="3"/>
  <c r="G33" i="5"/>
  <c r="H33" i="5" s="1"/>
  <c r="G32" i="5"/>
  <c r="H32" i="5" s="1"/>
  <c r="BN32" i="3"/>
  <c r="BA32" i="3"/>
  <c r="BA41" i="3"/>
  <c r="BN41" i="3"/>
  <c r="BA49" i="3"/>
  <c r="BN49" i="3"/>
  <c r="BA44" i="3"/>
  <c r="BN44" i="3"/>
  <c r="BN40" i="3"/>
  <c r="BA40" i="3"/>
  <c r="BN31" i="3"/>
  <c r="BA31" i="3"/>
  <c r="BN36" i="3"/>
  <c r="BA36" i="3"/>
  <c r="BN48" i="3"/>
  <c r="BA48" i="3"/>
  <c r="BN39" i="3"/>
  <c r="BA39" i="3"/>
  <c r="BN43" i="3"/>
  <c r="BA43" i="3"/>
  <c r="BA37" i="3"/>
  <c r="BN37" i="3"/>
  <c r="BA45" i="3"/>
  <c r="BN45" i="3"/>
  <c r="BN30" i="3"/>
  <c r="BA30" i="3"/>
  <c r="BN47" i="3"/>
  <c r="BA47" i="3"/>
  <c r="BN34" i="3"/>
  <c r="BA34" i="3"/>
  <c r="BN42" i="3"/>
  <c r="BA42" i="3"/>
  <c r="BN38" i="3"/>
  <c r="BA38" i="3"/>
  <c r="BA35" i="3"/>
  <c r="BN35" i="3"/>
  <c r="BN46" i="3"/>
  <c r="BA46" i="3"/>
  <c r="BA33" i="3"/>
  <c r="BN33" i="3"/>
  <c r="BN27" i="3"/>
  <c r="BA27" i="3"/>
  <c r="BN25" i="3"/>
  <c r="BA25" i="3"/>
  <c r="BA29" i="3"/>
  <c r="BN29" i="3"/>
  <c r="BA28" i="3"/>
  <c r="BN28" i="3"/>
  <c r="BN26" i="3"/>
  <c r="BA26" i="3"/>
  <c r="BN24" i="3"/>
  <c r="BA24" i="3"/>
  <c r="AO26" i="3"/>
  <c r="AE14" i="3"/>
  <c r="AC14" i="3"/>
  <c r="BV28" i="3"/>
  <c r="BU28" i="3"/>
  <c r="BV36" i="3"/>
  <c r="BU36" i="3"/>
  <c r="BV29" i="3"/>
  <c r="BU29" i="3"/>
  <c r="BV31" i="3"/>
  <c r="BU31" i="3"/>
  <c r="BV40" i="3"/>
  <c r="BU40" i="3"/>
  <c r="BV24" i="3"/>
  <c r="BU24" i="3"/>
  <c r="BV32" i="3"/>
  <c r="BU32" i="3"/>
  <c r="BV27" i="3"/>
  <c r="BU27" i="3"/>
  <c r="BV30" i="3"/>
  <c r="BU30" i="3"/>
  <c r="BV39" i="3"/>
  <c r="BU39" i="3"/>
  <c r="BV25" i="3"/>
  <c r="BU25" i="3"/>
  <c r="BV26" i="3"/>
  <c r="BU26" i="3"/>
  <c r="BV35" i="3"/>
  <c r="BU35" i="3"/>
  <c r="BV42" i="3"/>
  <c r="BU42" i="3"/>
  <c r="BV45" i="3"/>
  <c r="BU45" i="3"/>
  <c r="BV38" i="3"/>
  <c r="BU38" i="3"/>
  <c r="BV34" i="3"/>
  <c r="BU34" i="3"/>
  <c r="BV47" i="3"/>
  <c r="BU47" i="3"/>
  <c r="BV33" i="3"/>
  <c r="BU33" i="3"/>
  <c r="BV44" i="3"/>
  <c r="BU44" i="3"/>
  <c r="BV37" i="3"/>
  <c r="BU37" i="3"/>
  <c r="BV43" i="3"/>
  <c r="BU43" i="3"/>
  <c r="BV46" i="3"/>
  <c r="BU46" i="3"/>
  <c r="BV41" i="3"/>
  <c r="BU41" i="3"/>
  <c r="BV48" i="3"/>
  <c r="BU48" i="3"/>
  <c r="BV49" i="3"/>
  <c r="BU49" i="3"/>
  <c r="AD14" i="3"/>
  <c r="X39" i="2"/>
  <c r="W31" i="2"/>
  <c r="F22" i="5" l="1"/>
  <c r="H22" i="5" s="1"/>
  <c r="F22" i="6"/>
  <c r="H22" i="6" s="1"/>
  <c r="G30" i="5"/>
  <c r="H30" i="5" s="1"/>
  <c r="G30" i="6"/>
  <c r="H30" i="6" s="1"/>
  <c r="F24" i="5"/>
  <c r="H24" i="5" s="1"/>
  <c r="F24" i="6"/>
  <c r="H24" i="6" s="1"/>
  <c r="G28" i="6"/>
  <c r="H28" i="6" s="1"/>
  <c r="G29" i="6"/>
  <c r="H29" i="6" s="1"/>
  <c r="G28" i="5"/>
  <c r="H28" i="5" s="1"/>
  <c r="G29" i="5"/>
  <c r="H29" i="5" s="1"/>
  <c r="AM40" i="2"/>
  <c r="AM39" i="2"/>
  <c r="AM38" i="2"/>
  <c r="AM37" i="2"/>
  <c r="AM36" i="2"/>
  <c r="AM35" i="2"/>
  <c r="AL36" i="2"/>
  <c r="AK36" i="2" s="1"/>
  <c r="AL37" i="2"/>
  <c r="AL38" i="2"/>
  <c r="AL39" i="2"/>
  <c r="AK39" i="2" s="1"/>
  <c r="AL40" i="2"/>
  <c r="AL35" i="2"/>
  <c r="AM34" i="2"/>
  <c r="AM33" i="2"/>
  <c r="AL32" i="2"/>
  <c r="AL33" i="2"/>
  <c r="AL34" i="2"/>
  <c r="AM32" i="2"/>
  <c r="AM31" i="2"/>
  <c r="AK31" i="2" s="1"/>
  <c r="AL31" i="2"/>
  <c r="AM28" i="2"/>
  <c r="AM29" i="2"/>
  <c r="AM30" i="2"/>
  <c r="AM27" i="2"/>
  <c r="AL11" i="2"/>
  <c r="AL19" i="2"/>
  <c r="AL20" i="2" s="1"/>
  <c r="AL21" i="2" s="1"/>
  <c r="AL3" i="2"/>
  <c r="AL4" i="2" s="1"/>
  <c r="AC9" i="2"/>
  <c r="AB9" i="2" s="1"/>
  <c r="AC6" i="2"/>
  <c r="AB6" i="2" s="1"/>
  <c r="AC3" i="2"/>
  <c r="AB3" i="2" s="1"/>
  <c r="X7" i="2"/>
  <c r="X5" i="2"/>
  <c r="X3" i="2"/>
  <c r="AN8" i="2"/>
  <c r="AN12" i="2" s="1"/>
  <c r="AN16" i="2" s="1"/>
  <c r="AN20" i="2" s="1"/>
  <c r="AN24" i="2" s="1"/>
  <c r="AN28" i="2" s="1"/>
  <c r="AN9" i="2"/>
  <c r="AN13" i="2" s="1"/>
  <c r="AN10" i="2"/>
  <c r="AN14" i="2" s="1"/>
  <c r="AN18" i="2" s="1"/>
  <c r="AN22" i="2" s="1"/>
  <c r="AN26" i="2" s="1"/>
  <c r="AN30" i="2" s="1"/>
  <c r="AN7" i="2"/>
  <c r="AN11" i="2" s="1"/>
  <c r="AN15" i="2" s="1"/>
  <c r="AN19" i="2" s="1"/>
  <c r="AN23" i="2" s="1"/>
  <c r="AN27" i="2" s="1"/>
  <c r="AM26" i="2"/>
  <c r="AM25" i="2"/>
  <c r="AM24" i="2"/>
  <c r="AM23" i="2"/>
  <c r="AM22" i="2"/>
  <c r="AM21" i="2"/>
  <c r="AM20" i="2"/>
  <c r="AM19" i="2"/>
  <c r="AM18" i="2"/>
  <c r="AM17" i="2"/>
  <c r="AM16" i="2"/>
  <c r="AM15" i="2"/>
  <c r="AM14" i="2"/>
  <c r="AM13" i="2"/>
  <c r="AM12" i="2"/>
  <c r="AM11" i="2"/>
  <c r="AM8" i="2"/>
  <c r="AM9" i="2"/>
  <c r="AM10" i="2"/>
  <c r="AK34" i="2"/>
  <c r="AM4" i="2"/>
  <c r="AM5" i="2"/>
  <c r="AM6" i="2"/>
  <c r="AI3" i="2"/>
  <c r="AH8" i="2"/>
  <c r="AH12" i="2" s="1"/>
  <c r="AG12" i="2" s="1"/>
  <c r="AH9" i="2"/>
  <c r="AH13" i="2" s="1"/>
  <c r="AG13" i="2" s="1"/>
  <c r="AH10" i="2"/>
  <c r="AH14" i="2" s="1"/>
  <c r="AG14" i="2" s="1"/>
  <c r="AH7" i="2"/>
  <c r="AH11" i="2" s="1"/>
  <c r="AI8" i="2"/>
  <c r="AI9" i="2"/>
  <c r="AI10" i="2"/>
  <c r="AI6" i="2"/>
  <c r="AC4" i="2"/>
  <c r="AB4" i="2" s="1"/>
  <c r="X4" i="2"/>
  <c r="W4" i="2" s="1"/>
  <c r="W3" i="2"/>
  <c r="AM7" i="2"/>
  <c r="AI7" i="2"/>
  <c r="Y6" i="2"/>
  <c r="AI5" i="2"/>
  <c r="Y5" i="2"/>
  <c r="Y7" i="2" s="1"/>
  <c r="AI4" i="2"/>
  <c r="AM3" i="2"/>
  <c r="AK3" i="2" s="1"/>
  <c r="H38" i="6" l="1"/>
  <c r="H38" i="5"/>
  <c r="AK35" i="2"/>
  <c r="AK33" i="2"/>
  <c r="AK38" i="2"/>
  <c r="AK40" i="2"/>
  <c r="AK32" i="2"/>
  <c r="X8" i="2"/>
  <c r="X9" i="2" s="1"/>
  <c r="AL5" i="2"/>
  <c r="AL12" i="2"/>
  <c r="AK20" i="2"/>
  <c r="AK37" i="2"/>
  <c r="X6" i="2"/>
  <c r="W6" i="2" s="1"/>
  <c r="AL22" i="2"/>
  <c r="AK19" i="2"/>
  <c r="AC10" i="2"/>
  <c r="Y8" i="2"/>
  <c r="W8" i="2" s="1"/>
  <c r="AC5" i="2"/>
  <c r="AC7" i="2"/>
  <c r="AN17" i="2"/>
  <c r="AN21" i="2" s="1"/>
  <c r="AN25" i="2" s="1"/>
  <c r="AN29" i="2" s="1"/>
  <c r="W7" i="2"/>
  <c r="AK4" i="2"/>
  <c r="AG8" i="2"/>
  <c r="W9" i="2"/>
  <c r="AG3" i="2"/>
  <c r="AG4" i="2"/>
  <c r="AG7" i="2"/>
  <c r="AG6" i="2"/>
  <c r="W5" i="2"/>
  <c r="AK11" i="2"/>
  <c r="AG5" i="2"/>
  <c r="AG9" i="2"/>
  <c r="AK12" i="2"/>
  <c r="AG11" i="2"/>
  <c r="AG10" i="2"/>
  <c r="AK5" i="2"/>
  <c r="AB14" i="3" l="1"/>
  <c r="AK21" i="2"/>
  <c r="AL13" i="2"/>
  <c r="AO12" i="2"/>
  <c r="AL6" i="2"/>
  <c r="AO5" i="2"/>
  <c r="AK22" i="2"/>
  <c r="AL23" i="2"/>
  <c r="AC8" i="2"/>
  <c r="AB8" i="2" s="1"/>
  <c r="AB10" i="2"/>
  <c r="AC11" i="2"/>
  <c r="AB11" i="2" s="1"/>
  <c r="AB7" i="2"/>
  <c r="AB5" i="2"/>
  <c r="AO31" i="2" l="1"/>
  <c r="AO4" i="2"/>
  <c r="AO19" i="2"/>
  <c r="AO33" i="2"/>
  <c r="AO39" i="2"/>
  <c r="AO34" i="2"/>
  <c r="AO21" i="2"/>
  <c r="AO11" i="2"/>
  <c r="AO37" i="2"/>
  <c r="AL14" i="2"/>
  <c r="AO13" i="2"/>
  <c r="AO20" i="2"/>
  <c r="AL7" i="2"/>
  <c r="AO6" i="2"/>
  <c r="AK6" i="2"/>
  <c r="AO22" i="2"/>
  <c r="AO40" i="2"/>
  <c r="AO23" i="2"/>
  <c r="AO38" i="2"/>
  <c r="AO32" i="2"/>
  <c r="AO36" i="2"/>
  <c r="AO35" i="2"/>
  <c r="AK13" i="2"/>
  <c r="AL24" i="2"/>
  <c r="AO24" i="2" s="1"/>
  <c r="AK23" i="2"/>
  <c r="AL19" i="3" l="1"/>
  <c r="AL15" i="2"/>
  <c r="AO14" i="2"/>
  <c r="AL8" i="2"/>
  <c r="AO7" i="2"/>
  <c r="AK7" i="2"/>
  <c r="AK14" i="2"/>
  <c r="AL25" i="2"/>
  <c r="AK24" i="2"/>
  <c r="C40" i="5" l="1"/>
  <c r="C40" i="6"/>
  <c r="AL26" i="2"/>
  <c r="AO25" i="2"/>
  <c r="AL9" i="2"/>
  <c r="AO8" i="2"/>
  <c r="AK8" i="2"/>
  <c r="AL16" i="2"/>
  <c r="AO16" i="2" s="1"/>
  <c r="AO15" i="2"/>
  <c r="AK15" i="2"/>
  <c r="AK25" i="2"/>
  <c r="AL10" i="2" l="1"/>
  <c r="AO9" i="2"/>
  <c r="AK9" i="2"/>
  <c r="AL27" i="2"/>
  <c r="AO26" i="2"/>
  <c r="AK26" i="2"/>
  <c r="AK16" i="2"/>
  <c r="AL17" i="2"/>
  <c r="AO17" i="2" s="1"/>
  <c r="AL28" i="2" l="1"/>
  <c r="AO27" i="2"/>
  <c r="AK27" i="2"/>
  <c r="AO10" i="2"/>
  <c r="AK10" i="2"/>
  <c r="AK17" i="2"/>
  <c r="AL18" i="2"/>
  <c r="AO18" i="2" s="1"/>
  <c r="AO28" i="2" l="1"/>
  <c r="AL29" i="2"/>
  <c r="AK28" i="2"/>
  <c r="AK18" i="2"/>
  <c r="AO29" i="2" l="1"/>
  <c r="AK29" i="2"/>
  <c r="AL30" i="2"/>
  <c r="AO30" i="2" l="1"/>
  <c r="AK30" i="2"/>
</calcChain>
</file>

<file path=xl/sharedStrings.xml><?xml version="1.0" encoding="utf-8"?>
<sst xmlns="http://schemas.openxmlformats.org/spreadsheetml/2006/main" count="450" uniqueCount="207">
  <si>
    <t>EJU (European Judo Union)</t>
  </si>
  <si>
    <t>Women</t>
  </si>
  <si>
    <t>Visa required</t>
  </si>
  <si>
    <t>Arrival</t>
  </si>
  <si>
    <t>Departure</t>
  </si>
  <si>
    <t>Individual Information</t>
  </si>
  <si>
    <r>
      <t>Details for Visa application (</t>
    </r>
    <r>
      <rPr>
        <b/>
        <sz val="12"/>
        <color rgb="FFFF0000"/>
        <rFont val="Calibri"/>
        <family val="2"/>
        <scheme val="minor"/>
      </rPr>
      <t xml:space="preserve">enter data </t>
    </r>
    <r>
      <rPr>
        <b/>
        <u/>
        <sz val="12"/>
        <color rgb="FFFF0000"/>
        <rFont val="Calibri"/>
        <family val="2"/>
        <scheme val="minor"/>
      </rPr>
      <t>only</t>
    </r>
    <r>
      <rPr>
        <b/>
        <sz val="12"/>
        <color rgb="FFFF0000"/>
        <rFont val="Calibri"/>
        <family val="2"/>
        <scheme val="minor"/>
      </rPr>
      <t xml:space="preserve"> if Visa is necessary</t>
    </r>
    <r>
      <rPr>
        <b/>
        <sz val="12"/>
        <color rgb="FF001489"/>
        <rFont val="Calibri"/>
        <family val="2"/>
        <scheme val="minor"/>
      </rPr>
      <t>)</t>
    </r>
  </si>
  <si>
    <t>Transfer Shuttle required?</t>
  </si>
  <si>
    <t>Accommodation</t>
  </si>
  <si>
    <t>Last name</t>
  </si>
  <si>
    <t>First name</t>
  </si>
  <si>
    <t>Weight Category, Function, and Gender</t>
  </si>
  <si>
    <t>Date of Birth</t>
  </si>
  <si>
    <t>Place of Birth</t>
  </si>
  <si>
    <t>Nationality</t>
  </si>
  <si>
    <t>Passport Number</t>
  </si>
  <si>
    <t>Date of Issue</t>
  </si>
  <si>
    <t>Date of Expiry</t>
  </si>
  <si>
    <t>Date</t>
  </si>
  <si>
    <t>Time</t>
  </si>
  <si>
    <t>From</t>
  </si>
  <si>
    <t>To</t>
  </si>
  <si>
    <t>Arriving by</t>
  </si>
  <si>
    <t>Departing by</t>
  </si>
  <si>
    <t>from Arrival location to
official hotel</t>
  </si>
  <si>
    <t>from official hotel to Departure location</t>
  </si>
  <si>
    <t>Type</t>
  </si>
  <si>
    <t>SubType1</t>
  </si>
  <si>
    <t>SortOrder</t>
  </si>
  <si>
    <t>Position</t>
  </si>
  <si>
    <t>Gender</t>
  </si>
  <si>
    <t>SubType2</t>
  </si>
  <si>
    <t>YES</t>
  </si>
  <si>
    <t>by Plane</t>
  </si>
  <si>
    <t>NO</t>
  </si>
  <si>
    <t>WeightOrFunction</t>
  </si>
  <si>
    <t>AccommodationCosts</t>
  </si>
  <si>
    <t>Headers</t>
  </si>
  <si>
    <t>Invoice subtitle</t>
  </si>
  <si>
    <t>Druckbereiche</t>
  </si>
  <si>
    <t>Category</t>
  </si>
  <si>
    <t>TrainingCamp</t>
  </si>
  <si>
    <t>ArrivalDate</t>
  </si>
  <si>
    <t>DepartureDate</t>
  </si>
  <si>
    <t>TravelLocation</t>
  </si>
  <si>
    <t>TransferLocation</t>
  </si>
  <si>
    <t>LocomotionType</t>
  </si>
  <si>
    <t>Code</t>
  </si>
  <si>
    <t>Size</t>
  </si>
  <si>
    <t>Price</t>
  </si>
  <si>
    <t>Lodging</t>
  </si>
  <si>
    <t>Room</t>
  </si>
  <si>
    <t>AccreditationFee</t>
  </si>
  <si>
    <t>TCFeeEJU</t>
  </si>
  <si>
    <t>TCFeeNonEJU</t>
  </si>
  <si>
    <t>Visa Application</t>
  </si>
  <si>
    <t>Check In Liste</t>
  </si>
  <si>
    <t>MALE</t>
  </si>
  <si>
    <t>Coach</t>
  </si>
  <si>
    <t>FEMALE</t>
  </si>
  <si>
    <t>Single</t>
  </si>
  <si>
    <t>BB</t>
  </si>
  <si>
    <t>AJU (African Judo Union)</t>
  </si>
  <si>
    <t>Double</t>
  </si>
  <si>
    <t>JUA (Judo Union of Asia)</t>
  </si>
  <si>
    <t>Official</t>
  </si>
  <si>
    <t>by Car or Bus</t>
  </si>
  <si>
    <t>FB</t>
  </si>
  <si>
    <t>EJUEntryFee</t>
  </si>
  <si>
    <t>OJU (Oceanian Judo Union)</t>
  </si>
  <si>
    <t>Medical</t>
  </si>
  <si>
    <t>Shared</t>
  </si>
  <si>
    <t>PJC (Panamerican Judo Confederation)</t>
  </si>
  <si>
    <t>Other</t>
  </si>
  <si>
    <t>Press</t>
  </si>
  <si>
    <t>Athlete</t>
  </si>
  <si>
    <t>-60kg</t>
  </si>
  <si>
    <t>-66kg</t>
  </si>
  <si>
    <t>-73kg</t>
  </si>
  <si>
    <t>-81kg</t>
  </si>
  <si>
    <t>-90kg</t>
  </si>
  <si>
    <t>-100kg</t>
  </si>
  <si>
    <t>+100kg</t>
  </si>
  <si>
    <t>-48kg</t>
  </si>
  <si>
    <t>-52kg</t>
  </si>
  <si>
    <t>-57kg</t>
  </si>
  <si>
    <t>-63kg</t>
  </si>
  <si>
    <t>-70kg</t>
  </si>
  <si>
    <t>-78kg</t>
  </si>
  <si>
    <t>+78kg</t>
  </si>
  <si>
    <t>Hilton</t>
  </si>
  <si>
    <t>Alvisse</t>
  </si>
  <si>
    <t>Ibis</t>
  </si>
  <si>
    <t>Coque</t>
  </si>
  <si>
    <t>Hotel</t>
  </si>
  <si>
    <t>only Lunch</t>
  </si>
  <si>
    <t>only Dinner</t>
  </si>
  <si>
    <t>HotelAndLodgings</t>
  </si>
  <si>
    <t>Meal</t>
  </si>
  <si>
    <t>Hotels</t>
  </si>
  <si>
    <t>TCAccredFee</t>
  </si>
  <si>
    <t>Luxembourg Airport</t>
  </si>
  <si>
    <t>RoomPricesEJO</t>
  </si>
  <si>
    <t>RoomPricesTC</t>
  </si>
  <si>
    <t>RoomPricesSunday</t>
  </si>
  <si>
    <t>Meals</t>
  </si>
  <si>
    <t>Hotel TC</t>
  </si>
  <si>
    <t>HotelsEJO</t>
  </si>
  <si>
    <t>HotelsTC</t>
  </si>
  <si>
    <t>RoomTypes</t>
  </si>
  <si>
    <t>MealTypesEJO</t>
  </si>
  <si>
    <t>full board</t>
  </si>
  <si>
    <t>only breakfast</t>
  </si>
  <si>
    <t>MealTypesTC</t>
  </si>
  <si>
    <t>+lunch</t>
  </si>
  <si>
    <t>+dinner</t>
  </si>
  <si>
    <t>Hotel EJO</t>
  </si>
  <si>
    <t>Hostel</t>
  </si>
  <si>
    <t>to hide</t>
  </si>
  <si>
    <t>Sunday: which Hotel?</t>
  </si>
  <si>
    <t>TC 2 days? 1=OK</t>
  </si>
  <si>
    <t>number of nights</t>
  </si>
  <si>
    <t>No Cat!</t>
  </si>
  <si>
    <t>Hotels EJOpen</t>
  </si>
  <si>
    <t>Hotels TC</t>
  </si>
  <si>
    <t>EJO</t>
  </si>
  <si>
    <t>TC</t>
  </si>
  <si>
    <t>Coque on Sunday? 1=Coque on Sunday</t>
  </si>
  <si>
    <t>Sunday Coque?</t>
  </si>
  <si>
    <t>Coque only EJOpen-Starters</t>
  </si>
  <si>
    <t>Error1</t>
  </si>
  <si>
    <t>Judoka arriving on Sunday will be accomodated in the TC hotels on Sunday.</t>
  </si>
  <si>
    <t>Transport for judoka participating at the EJOpen and TC will be on Monday after lunch.</t>
  </si>
  <si>
    <t>D'Coque only available for EJOpen starters</t>
  </si>
  <si>
    <t>Bill meals, to hide</t>
  </si>
  <si>
    <t>Bill Hotel, to hide</t>
  </si>
  <si>
    <t>MealPricesEJO</t>
  </si>
  <si>
    <t>MealPricesSunday</t>
  </si>
  <si>
    <t>MealPricesTC</t>
  </si>
  <si>
    <t>Hotel chosen EJO</t>
  </si>
  <si>
    <t>Hotel chosen TC</t>
  </si>
  <si>
    <t>Cost</t>
  </si>
  <si>
    <t>Hotel chosen, to hide</t>
  </si>
  <si>
    <t>EJU Fee EJOpen</t>
  </si>
  <si>
    <t>EJU Fee TC</t>
  </si>
  <si>
    <t>non Athlete</t>
  </si>
  <si>
    <t>EJU Fee TC Yes=1</t>
  </si>
  <si>
    <t xml:space="preserve">Country of Federation </t>
  </si>
  <si>
    <t xml:space="preserve">Phone Number </t>
  </si>
  <si>
    <t>Federation</t>
  </si>
  <si>
    <t>Contact Person</t>
  </si>
  <si>
    <t>Continental Federation</t>
  </si>
  <si>
    <t>Check your reservation!</t>
  </si>
  <si>
    <t>The table below gives you an overview of how many persons differentiated by gender are assigned to each room type.</t>
  </si>
  <si>
    <t>Otherwise higher accommodation costs could arise!</t>
  </si>
  <si>
    <t>Number of persons per room type and gender</t>
  </si>
  <si>
    <t>Room type</t>
  </si>
  <si>
    <t>Total</t>
  </si>
  <si>
    <t>Female</t>
  </si>
  <si>
    <t>Male</t>
  </si>
  <si>
    <t>Attention:</t>
  </si>
  <si>
    <r>
      <t xml:space="preserve">Violation of constraints mentioned above will be indicated in </t>
    </r>
    <r>
      <rPr>
        <b/>
        <sz val="12"/>
        <color rgb="FFFF0000"/>
        <rFont val="Calibri (Textkörper)"/>
      </rPr>
      <t>red</t>
    </r>
    <r>
      <rPr>
        <sz val="12"/>
        <rFont val="Calibri (Textkörper)"/>
      </rPr>
      <t xml:space="preserve"> color</t>
    </r>
    <r>
      <rPr>
        <sz val="11"/>
        <color theme="1"/>
        <rFont val="Calibri"/>
        <family val="2"/>
        <scheme val="minor"/>
      </rPr>
      <t>.</t>
    </r>
  </si>
  <si>
    <t>TOTAL</t>
  </si>
  <si>
    <t>Triple</t>
  </si>
  <si>
    <r>
      <t xml:space="preserve">*Prices per </t>
    </r>
    <r>
      <rPr>
        <u/>
        <sz val="9"/>
        <color theme="1"/>
        <rFont val="Calibri (Textkörper)"/>
      </rPr>
      <t>person</t>
    </r>
    <r>
      <rPr>
        <sz val="9"/>
        <color theme="1"/>
        <rFont val="Calibri"/>
        <family val="2"/>
        <scheme val="minor"/>
      </rPr>
      <t xml:space="preserve"> and night</t>
    </r>
  </si>
  <si>
    <t>Description</t>
  </si>
  <si>
    <t>Quantity</t>
  </si>
  <si>
    <t>Invoice total</t>
  </si>
  <si>
    <t/>
  </si>
  <si>
    <t>Continent</t>
  </si>
  <si>
    <t>Invoice date:</t>
  </si>
  <si>
    <t>EJU Fee</t>
  </si>
  <si>
    <t>EJO Sun</t>
  </si>
  <si>
    <t>TC Sun</t>
  </si>
  <si>
    <t>Acc Fee EOpen 0=no Fee</t>
  </si>
  <si>
    <t>Acc Fee TC          0=no Fee</t>
  </si>
  <si>
    <t>Interreg Judo Cooperation</t>
  </si>
  <si>
    <t>3, route d'Arlon</t>
  </si>
  <si>
    <t>8009 Strassen</t>
  </si>
  <si>
    <t>Luxembourg</t>
  </si>
  <si>
    <t xml:space="preserve">Bank details
</t>
  </si>
  <si>
    <t>Rooms*</t>
  </si>
  <si>
    <t>Please fill out the information and select the desired hotel(s) first</t>
  </si>
  <si>
    <t>Flight Number</t>
  </si>
  <si>
    <t>TP</t>
  </si>
  <si>
    <t>Training Partner</t>
  </si>
  <si>
    <t>Proforma Invoice</t>
  </si>
  <si>
    <t>non-official Hotel EJO</t>
  </si>
  <si>
    <t>non-official Hotel TC</t>
  </si>
  <si>
    <t>European Judo Open Luxembourg 2019</t>
  </si>
  <si>
    <t>28/29 September 2019</t>
  </si>
  <si>
    <t>Billing party</t>
  </si>
  <si>
    <t>Bill to party</t>
  </si>
  <si>
    <t>European Judo Open Luxembourg, 28/29 September 2019</t>
  </si>
  <si>
    <r>
      <t xml:space="preserve">Please consider to assign </t>
    </r>
    <r>
      <rPr>
        <b/>
        <sz val="12"/>
        <color theme="1"/>
        <rFont val="Calibri"/>
        <family val="2"/>
        <scheme val="minor"/>
      </rPr>
      <t>two persons per double room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2"/>
        <color theme="1"/>
        <rFont val="Calibri"/>
        <family val="2"/>
        <scheme val="minor"/>
      </rPr>
      <t>3 persons per triple/shared room</t>
    </r>
    <r>
      <rPr>
        <sz val="11"/>
        <color theme="1"/>
        <rFont val="Calibri"/>
        <family val="2"/>
        <scheme val="minor"/>
      </rPr>
      <t>!</t>
    </r>
  </si>
  <si>
    <t>Name of Account Holder:</t>
  </si>
  <si>
    <t xml:space="preserve"> Interreg Judo Cooperation</t>
  </si>
  <si>
    <t xml:space="preserve">Name of Bank: </t>
  </si>
  <si>
    <t>BGL BNP PARIBAS</t>
  </si>
  <si>
    <t xml:space="preserve">Payment Details: </t>
  </si>
  <si>
    <t>Your Country Code - EJOpen Luxembourg</t>
  </si>
  <si>
    <t xml:space="preserve">BIC: </t>
  </si>
  <si>
    <t>BGLLLULL</t>
  </si>
  <si>
    <t xml:space="preserve">IBAN: </t>
  </si>
  <si>
    <t>LU18 0030 3165 2346 0000</t>
  </si>
  <si>
    <t>Invoice</t>
  </si>
  <si>
    <r>
      <rPr>
        <b/>
        <sz val="12"/>
        <color rgb="FFFF0000"/>
        <rFont val="Calibri"/>
        <family val="2"/>
        <scheme val="minor"/>
      </rPr>
      <t>Please send to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u/>
        <sz val="12"/>
        <color theme="8"/>
        <rFont val="Calibri"/>
        <family val="2"/>
        <scheme val="minor"/>
      </rPr>
      <t xml:space="preserve">accreditation@interreg-judo.eu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</si>
</sst>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mmm\ [$-809]dd;@"/>
    <numFmt numFmtId="165" formatCode="[$-809]dd\ mmm\ yyyy;@"/>
    <numFmt numFmtId="166" formatCode="mmm\ [$-809]dd\ ;@"/>
    <numFmt numFmtId="167" formatCode="hh:mm;@"/>
    <numFmt numFmtId="168" formatCode="#,##0\ &quot;€&quot;"/>
    <numFmt numFmtId="169" formatCode="#,##0.00\ &quot;€&quot;"/>
    <numFmt numFmtId="170" formatCode="_-* #,##0\ _€_-;\-* #,##0\ _€_-;_-* &quot;&quot;\ _€_-;_-@_-"/>
    <numFmt numFmtId="171" formatCode="_-* #,##0\ _€_-;\-* #,##0\ _€_-;_-* &quot;-&quot;\ _€_-;_-@_-"/>
  </numFmts>
  <fonts count="34">
    <font>
      <sz val="11"/>
      <color theme="1"/>
      <name val="Calibri"/>
      <family val="2"/>
      <scheme val="minor"/>
    </font>
    <font>
      <b/>
      <sz val="20"/>
      <color rgb="FF145A99"/>
      <name val="Calibri"/>
      <family val="2"/>
      <scheme val="minor"/>
    </font>
    <font>
      <b/>
      <sz val="12"/>
      <color rgb="FF001489"/>
      <name val="Calibri"/>
      <family val="2"/>
      <scheme val="minor"/>
    </font>
    <font>
      <sz val="12"/>
      <color rgb="FF145A99"/>
      <name val="Calibri"/>
      <family val="2"/>
      <scheme val="minor"/>
    </font>
    <font>
      <b/>
      <sz val="12"/>
      <color rgb="FF145A99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145A99"/>
      <name val="Calibri (Textkörper)"/>
    </font>
    <font>
      <sz val="12"/>
      <color theme="1"/>
      <name val="Calibri (Textkörper)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6"/>
      <color rgb="FF001489"/>
      <name val="Calibri"/>
      <family val="2"/>
      <scheme val="minor"/>
    </font>
    <font>
      <b/>
      <sz val="12"/>
      <color rgb="FFFF0000"/>
      <name val="Calibri (Textkörper)"/>
    </font>
    <font>
      <sz val="12"/>
      <name val="Calibri (Textkörper)"/>
    </font>
    <font>
      <b/>
      <sz val="20"/>
      <color rgb="FF001489"/>
      <name val="Calibri"/>
      <family val="2"/>
      <scheme val="minor"/>
    </font>
    <font>
      <b/>
      <sz val="9"/>
      <color rgb="FF001489"/>
      <name val="Calibri"/>
      <family val="2"/>
    </font>
    <font>
      <b/>
      <sz val="9"/>
      <color indexed="8"/>
      <name val="Calibri"/>
      <family val="2"/>
    </font>
    <font>
      <sz val="12"/>
      <color rgb="FF001489"/>
      <name val="Calibri"/>
      <family val="2"/>
      <scheme val="minor"/>
    </font>
    <font>
      <b/>
      <sz val="9"/>
      <color rgb="FF00148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 (Textkörper)"/>
    </font>
    <font>
      <sz val="9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rgb="FFFF0000"/>
      <name val="Calibri"/>
      <family val="2"/>
    </font>
    <font>
      <b/>
      <u/>
      <sz val="12"/>
      <color theme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DCE8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D9E1F2"/>
        <bgColor rgb="FFD9E1F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16">
    <border>
      <left/>
      <right/>
      <top/>
      <bottom/>
      <diagonal/>
    </border>
    <border>
      <left style="medium">
        <color rgb="FF001489"/>
      </left>
      <right/>
      <top style="medium">
        <color rgb="FF001489"/>
      </top>
      <bottom style="thin">
        <color rgb="FF001489"/>
      </bottom>
      <diagonal/>
    </border>
    <border>
      <left/>
      <right/>
      <top style="medium">
        <color rgb="FF001489"/>
      </top>
      <bottom style="thin">
        <color rgb="FF001489"/>
      </bottom>
      <diagonal/>
    </border>
    <border>
      <left/>
      <right style="medium">
        <color rgb="FF001489"/>
      </right>
      <top style="medium">
        <color rgb="FF001489"/>
      </top>
      <bottom style="thin">
        <color rgb="FF001489"/>
      </bottom>
      <diagonal/>
    </border>
    <border>
      <left style="medium">
        <color rgb="FF001489"/>
      </left>
      <right/>
      <top style="thin">
        <color rgb="FF001489"/>
      </top>
      <bottom style="thin">
        <color rgb="FF001489"/>
      </bottom>
      <diagonal/>
    </border>
    <border>
      <left/>
      <right/>
      <top style="thin">
        <color rgb="FF001489"/>
      </top>
      <bottom style="thin">
        <color rgb="FF001489"/>
      </bottom>
      <diagonal/>
    </border>
    <border>
      <left style="thin">
        <color rgb="FF001489"/>
      </left>
      <right style="thin">
        <color rgb="FF001489"/>
      </right>
      <top style="thin">
        <color rgb="FF001489"/>
      </top>
      <bottom style="thin">
        <color rgb="FF001489"/>
      </bottom>
      <diagonal/>
    </border>
    <border>
      <left style="thin">
        <color rgb="FF001489"/>
      </left>
      <right style="thin">
        <color rgb="FF001489"/>
      </right>
      <top style="medium">
        <color rgb="FF001489"/>
      </top>
      <bottom style="thin">
        <color rgb="FF001489"/>
      </bottom>
      <diagonal/>
    </border>
    <border>
      <left style="thin">
        <color rgb="FF001489"/>
      </left>
      <right style="medium">
        <color rgb="FF001489"/>
      </right>
      <top style="medium">
        <color rgb="FF001489"/>
      </top>
      <bottom style="thin">
        <color rgb="FF001489"/>
      </bottom>
      <diagonal/>
    </border>
    <border>
      <left style="thin">
        <color rgb="FF001489"/>
      </left>
      <right style="thin">
        <color rgb="FF001489"/>
      </right>
      <top style="thin">
        <color rgb="FF001489"/>
      </top>
      <bottom style="medium">
        <color rgb="FF001489"/>
      </bottom>
      <diagonal/>
    </border>
    <border>
      <left style="thin">
        <color rgb="FF001489"/>
      </left>
      <right style="medium">
        <color rgb="FF001489"/>
      </right>
      <top style="thin">
        <color rgb="FF001489"/>
      </top>
      <bottom style="medium">
        <color rgb="FF001489"/>
      </bottom>
      <diagonal/>
    </border>
    <border>
      <left/>
      <right/>
      <top style="thin">
        <color rgb="FF001489"/>
      </top>
      <bottom style="medium">
        <color rgb="FF001489"/>
      </bottom>
      <diagonal/>
    </border>
    <border>
      <left style="medium">
        <color rgb="FF001489"/>
      </left>
      <right style="thin">
        <color rgb="FF001489"/>
      </right>
      <top style="medium">
        <color rgb="FF001489"/>
      </top>
      <bottom style="thin">
        <color rgb="FF001489"/>
      </bottom>
      <diagonal/>
    </border>
    <border>
      <left style="medium">
        <color rgb="FF001489"/>
      </left>
      <right style="thin">
        <color rgb="FF001489"/>
      </right>
      <top style="thin">
        <color rgb="FF001489"/>
      </top>
      <bottom style="thin">
        <color rgb="FF001489"/>
      </bottom>
      <diagonal/>
    </border>
    <border>
      <left style="thin">
        <color rgb="FF001489"/>
      </left>
      <right style="medium">
        <color rgb="FF001489"/>
      </right>
      <top style="thin">
        <color rgb="FF001489"/>
      </top>
      <bottom style="thin">
        <color rgb="FF001489"/>
      </bottom>
      <diagonal/>
    </border>
    <border>
      <left style="medium">
        <color rgb="FF001489"/>
      </left>
      <right style="thin">
        <color rgb="FF001489"/>
      </right>
      <top style="thin">
        <color rgb="FF001489"/>
      </top>
      <bottom style="medium">
        <color rgb="FF00148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001489"/>
      </left>
      <right/>
      <top style="medium">
        <color rgb="FF001489"/>
      </top>
      <bottom style="medium">
        <color rgb="FF001489"/>
      </bottom>
      <diagonal/>
    </border>
    <border>
      <left/>
      <right/>
      <top style="medium">
        <color rgb="FF001489"/>
      </top>
      <bottom style="medium">
        <color rgb="FF001489"/>
      </bottom>
      <diagonal/>
    </border>
    <border>
      <left/>
      <right style="medium">
        <color rgb="FF001489"/>
      </right>
      <top style="medium">
        <color rgb="FF001489"/>
      </top>
      <bottom style="medium">
        <color rgb="FF001489"/>
      </bottom>
      <diagonal/>
    </border>
    <border>
      <left style="medium">
        <color rgb="FF001489"/>
      </left>
      <right/>
      <top/>
      <bottom/>
      <diagonal/>
    </border>
    <border>
      <left/>
      <right style="medium">
        <color rgb="FF001489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rgb="FF00148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1489"/>
      </top>
      <bottom/>
      <diagonal/>
    </border>
    <border>
      <left style="thin">
        <color rgb="FF001489"/>
      </left>
      <right style="medium">
        <color rgb="FF001489"/>
      </right>
      <top style="thin">
        <color rgb="FF001489"/>
      </top>
      <bottom/>
      <diagonal/>
    </border>
    <border>
      <left style="medium">
        <color rgb="FF001489"/>
      </left>
      <right/>
      <top style="medium">
        <color rgb="FF001489"/>
      </top>
      <bottom/>
      <diagonal/>
    </border>
    <border>
      <left/>
      <right style="medium">
        <color rgb="FF001489"/>
      </right>
      <top style="medium">
        <color rgb="FF001489"/>
      </top>
      <bottom/>
      <diagonal/>
    </border>
    <border>
      <left style="medium">
        <color rgb="FF001489"/>
      </left>
      <right/>
      <top/>
      <bottom style="medium">
        <color rgb="FF001489"/>
      </bottom>
      <diagonal/>
    </border>
    <border>
      <left/>
      <right style="medium">
        <color rgb="FF001489"/>
      </right>
      <top/>
      <bottom style="medium">
        <color rgb="FF001489"/>
      </bottom>
      <diagonal/>
    </border>
    <border>
      <left style="medium">
        <color rgb="FF001489"/>
      </left>
      <right/>
      <top style="thin">
        <color rgb="FF001489"/>
      </top>
      <bottom style="medium">
        <color rgb="FF001489"/>
      </bottom>
      <diagonal/>
    </border>
    <border>
      <left style="medium">
        <color indexed="64"/>
      </left>
      <right/>
      <top style="medium">
        <color indexed="64"/>
      </top>
      <bottom style="thin">
        <color rgb="FF001489"/>
      </bottom>
      <diagonal/>
    </border>
    <border>
      <left/>
      <right/>
      <top style="medium">
        <color indexed="64"/>
      </top>
      <bottom style="thin">
        <color rgb="FF001489"/>
      </bottom>
      <diagonal/>
    </border>
    <border>
      <left/>
      <right style="medium">
        <color indexed="64"/>
      </right>
      <top style="medium">
        <color indexed="64"/>
      </top>
      <bottom style="thin">
        <color rgb="FF001489"/>
      </bottom>
      <diagonal/>
    </border>
    <border>
      <left style="medium">
        <color indexed="64"/>
      </left>
      <right style="thin">
        <color rgb="FF001489"/>
      </right>
      <top style="thin">
        <color rgb="FF001489"/>
      </top>
      <bottom style="medium">
        <color indexed="64"/>
      </bottom>
      <diagonal/>
    </border>
    <border>
      <left style="medium">
        <color rgb="FF001489"/>
      </left>
      <right style="thin">
        <color rgb="FF001489"/>
      </right>
      <top style="thin">
        <color rgb="FF001489"/>
      </top>
      <bottom style="medium">
        <color indexed="64"/>
      </bottom>
      <diagonal/>
    </border>
    <border>
      <left style="medium">
        <color rgb="FF001489"/>
      </left>
      <right style="medium">
        <color indexed="64"/>
      </right>
      <top style="thin">
        <color rgb="FF001489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rgb="FF001489"/>
      </left>
      <right/>
      <top style="thin">
        <color rgb="FF001489"/>
      </top>
      <bottom style="thin">
        <color rgb="FF001489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thin">
        <color rgb="FF001489"/>
      </bottom>
      <diagonal/>
    </border>
    <border>
      <left/>
      <right/>
      <top style="medium">
        <color theme="4" tint="-0.499984740745262"/>
      </top>
      <bottom style="thin">
        <color rgb="FF001489"/>
      </bottom>
      <diagonal/>
    </border>
    <border>
      <left/>
      <right style="medium">
        <color rgb="FF001489"/>
      </right>
      <top style="medium">
        <color theme="4" tint="-0.499984740745262"/>
      </top>
      <bottom style="thin">
        <color rgb="FF001489"/>
      </bottom>
      <diagonal/>
    </border>
    <border>
      <left style="medium">
        <color rgb="FF001489"/>
      </left>
      <right/>
      <top style="medium">
        <color theme="4" tint="-0.499984740745262"/>
      </top>
      <bottom style="thin">
        <color rgb="FF001489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thin">
        <color rgb="FF001489"/>
      </bottom>
      <diagonal/>
    </border>
    <border>
      <left style="medium">
        <color theme="4" tint="-0.499984740745262"/>
      </left>
      <right style="thin">
        <color rgb="FF001489"/>
      </right>
      <top style="thin">
        <color rgb="FF001489"/>
      </top>
      <bottom style="thin">
        <color rgb="FF001489"/>
      </bottom>
      <diagonal/>
    </border>
    <border>
      <left/>
      <right style="medium">
        <color theme="4" tint="-0.499984740745262"/>
      </right>
      <top style="thin">
        <color rgb="FF001489"/>
      </top>
      <bottom style="thin">
        <color rgb="FF001489"/>
      </bottom>
      <diagonal/>
    </border>
    <border>
      <left style="medium">
        <color theme="4" tint="-0.499984740745262"/>
      </left>
      <right style="thin">
        <color rgb="FF001489"/>
      </right>
      <top style="thin">
        <color rgb="FF001489"/>
      </top>
      <bottom style="medium">
        <color theme="4" tint="-0.499984740745262"/>
      </bottom>
      <diagonal/>
    </border>
    <border>
      <left style="thin">
        <color rgb="FF001489"/>
      </left>
      <right style="thin">
        <color rgb="FF001489"/>
      </right>
      <top style="thin">
        <color rgb="FF001489"/>
      </top>
      <bottom style="medium">
        <color theme="4" tint="-0.499984740745262"/>
      </bottom>
      <diagonal/>
    </border>
    <border>
      <left style="thin">
        <color rgb="FF001489"/>
      </left>
      <right style="medium">
        <color rgb="FF001489"/>
      </right>
      <top style="thin">
        <color rgb="FF001489"/>
      </top>
      <bottom style="medium">
        <color theme="4" tint="-0.499984740745262"/>
      </bottom>
      <diagonal/>
    </border>
    <border>
      <left style="medium">
        <color rgb="FF001489"/>
      </left>
      <right/>
      <top style="thin">
        <color rgb="FF001489"/>
      </top>
      <bottom style="medium">
        <color theme="4" tint="-0.499984740745262"/>
      </bottom>
      <diagonal/>
    </border>
    <border>
      <left/>
      <right/>
      <top style="thin">
        <color rgb="FF001489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thin">
        <color rgb="FF001489"/>
      </top>
      <bottom style="medium">
        <color theme="4" tint="-0.499984740745262"/>
      </bottom>
      <diagonal/>
    </border>
    <border>
      <left/>
      <right style="thin">
        <color rgb="FF001489"/>
      </right>
      <top style="medium">
        <color theme="4" tint="-0.499984740745262"/>
      </top>
      <bottom style="thin">
        <color rgb="FF001489"/>
      </bottom>
      <diagonal/>
    </border>
    <border>
      <left style="thin">
        <color rgb="FF001489"/>
      </left>
      <right style="thin">
        <color rgb="FF001489"/>
      </right>
      <top style="medium">
        <color theme="4" tint="-0.499984740745262"/>
      </top>
      <bottom style="thin">
        <color rgb="FF001489"/>
      </bottom>
      <diagonal/>
    </border>
    <border>
      <left style="thin">
        <color rgb="FF001489"/>
      </left>
      <right style="medium">
        <color theme="4" tint="-0.499984740745262"/>
      </right>
      <top style="medium">
        <color theme="4" tint="-0.499984740745262"/>
      </top>
      <bottom style="thin">
        <color rgb="FF001489"/>
      </bottom>
      <diagonal/>
    </border>
    <border>
      <left style="thin">
        <color rgb="FF001489"/>
      </left>
      <right style="medium">
        <color theme="4" tint="-0.499984740745262"/>
      </right>
      <top style="thin">
        <color rgb="FF001489"/>
      </top>
      <bottom style="thin">
        <color rgb="FF001489"/>
      </bottom>
      <diagonal/>
    </border>
    <border>
      <left style="thin">
        <color rgb="FF001489"/>
      </left>
      <right style="medium">
        <color theme="4" tint="-0.499984740745262"/>
      </right>
      <top style="thin">
        <color rgb="FF001489"/>
      </top>
      <bottom style="medium">
        <color theme="4" tint="-0.499984740745262"/>
      </bottom>
      <diagonal/>
    </border>
    <border>
      <left style="medium">
        <color rgb="FF001489"/>
      </left>
      <right style="thin">
        <color rgb="FF001489"/>
      </right>
      <top/>
      <bottom style="medium">
        <color indexed="64"/>
      </bottom>
      <diagonal/>
    </border>
    <border>
      <left style="thin">
        <color rgb="FF001489"/>
      </left>
      <right style="medium">
        <color rgb="FF001489"/>
      </right>
      <top style="medium">
        <color rgb="FF001489"/>
      </top>
      <bottom style="medium">
        <color rgb="FF001489"/>
      </bottom>
      <diagonal/>
    </border>
    <border>
      <left/>
      <right style="thin">
        <color rgb="FF001489"/>
      </right>
      <top style="medium">
        <color rgb="FF001489"/>
      </top>
      <bottom style="medium">
        <color rgb="FF001489"/>
      </bottom>
      <diagonal/>
    </border>
    <border>
      <left style="thin">
        <color rgb="FF001489"/>
      </left>
      <right style="medium">
        <color rgb="FF001489"/>
      </right>
      <top/>
      <bottom style="thin">
        <color rgb="FF001489"/>
      </bottom>
      <diagonal/>
    </border>
    <border>
      <left/>
      <right style="thin">
        <color rgb="FF001489"/>
      </right>
      <top/>
      <bottom style="thin">
        <color rgb="FF001489"/>
      </bottom>
      <diagonal/>
    </border>
    <border>
      <left style="thin">
        <color rgb="FF001489"/>
      </left>
      <right style="thin">
        <color rgb="FF001489"/>
      </right>
      <top/>
      <bottom style="thin">
        <color rgb="FF001489"/>
      </bottom>
      <diagonal/>
    </border>
    <border>
      <left/>
      <right style="thin">
        <color rgb="FF001489"/>
      </right>
      <top style="thin">
        <color rgb="FF001489"/>
      </top>
      <bottom/>
      <diagonal/>
    </border>
    <border>
      <left style="medium">
        <color theme="4" tint="-0.499984740745262"/>
      </left>
      <right style="thin">
        <color rgb="FF001489"/>
      </right>
      <top style="medium">
        <color theme="4" tint="-0.499984740745262"/>
      </top>
      <bottom style="medium">
        <color rgb="FF001489"/>
      </bottom>
      <diagonal/>
    </border>
    <border>
      <left style="thin">
        <color rgb="FF001489"/>
      </left>
      <right style="medium">
        <color rgb="FF001489"/>
      </right>
      <top style="medium">
        <color theme="4" tint="-0.499984740745262"/>
      </top>
      <bottom style="medium">
        <color rgb="FF001489"/>
      </bottom>
      <diagonal/>
    </border>
    <border>
      <left style="medium">
        <color rgb="FF001489"/>
      </left>
      <right style="thin">
        <color rgb="FF001489"/>
      </right>
      <top style="medium">
        <color theme="4" tint="-0.499984740745262"/>
      </top>
      <bottom style="medium">
        <color rgb="FF001489"/>
      </bottom>
      <diagonal/>
    </border>
    <border>
      <left style="medium">
        <color rgb="FF001489"/>
      </left>
      <right style="medium">
        <color theme="4" tint="-0.499984740745262"/>
      </right>
      <top style="medium">
        <color theme="4" tint="-0.499984740745262"/>
      </top>
      <bottom style="medium">
        <color rgb="FF001489"/>
      </bottom>
      <diagonal/>
    </border>
    <border>
      <left style="medium">
        <color theme="4" tint="-0.499984740745262"/>
      </left>
      <right style="thin">
        <color rgb="FF001489"/>
      </right>
      <top/>
      <bottom style="thin">
        <color rgb="FF001489"/>
      </bottom>
      <diagonal/>
    </border>
    <border>
      <left style="medium">
        <color rgb="FF001489"/>
      </left>
      <right style="medium">
        <color theme="4" tint="-0.499984740745262"/>
      </right>
      <top/>
      <bottom style="thin">
        <color rgb="FF001489"/>
      </bottom>
      <diagonal/>
    </border>
    <border>
      <left style="medium">
        <color theme="4" tint="-0.499984740745262"/>
      </left>
      <right style="thin">
        <color rgb="FF001489"/>
      </right>
      <top style="thin">
        <color rgb="FF001489"/>
      </top>
      <bottom/>
      <diagonal/>
    </border>
    <border>
      <left style="medium">
        <color rgb="FF001489"/>
      </left>
      <right style="medium">
        <color theme="4" tint="-0.499984740745262"/>
      </right>
      <top style="thin">
        <color rgb="FF001489"/>
      </top>
      <bottom/>
      <diagonal/>
    </border>
    <border>
      <left style="medium">
        <color theme="4" tint="-0.499984740745262"/>
      </left>
      <right style="thin">
        <color rgb="FF001489"/>
      </right>
      <top style="medium">
        <color rgb="FF001489"/>
      </top>
      <bottom style="medium">
        <color rgb="FF001489"/>
      </bottom>
      <diagonal/>
    </border>
    <border>
      <left style="medium">
        <color rgb="FF001489"/>
      </left>
      <right style="medium">
        <color theme="4" tint="-0.499984740745262"/>
      </right>
      <top style="medium">
        <color rgb="FF001489"/>
      </top>
      <bottom style="medium">
        <color rgb="FF001489"/>
      </bottom>
      <diagonal/>
    </border>
    <border>
      <left/>
      <right style="thin">
        <color rgb="FF001489"/>
      </right>
      <top style="thin">
        <color rgb="FF001489"/>
      </top>
      <bottom style="thin">
        <color rgb="FF001489"/>
      </bottom>
      <diagonal/>
    </border>
    <border>
      <left style="medium">
        <color theme="4" tint="-0.499984740745262"/>
      </left>
      <right style="thin">
        <color rgb="FF001489"/>
      </right>
      <top style="medium">
        <color rgb="FF001489"/>
      </top>
      <bottom/>
      <diagonal/>
    </border>
    <border>
      <left style="thin">
        <color rgb="FF001489"/>
      </left>
      <right style="medium">
        <color rgb="FF001489"/>
      </right>
      <top style="medium">
        <color rgb="FF001489"/>
      </top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1489"/>
      </right>
      <top style="medium">
        <color rgb="FF001489"/>
      </top>
      <bottom/>
      <diagonal/>
    </border>
    <border>
      <left style="medium">
        <color rgb="FF001489"/>
      </left>
      <right style="medium">
        <color theme="4" tint="-0.499984740745262"/>
      </right>
      <top style="medium">
        <color rgb="FF001489"/>
      </top>
      <bottom/>
      <diagonal/>
    </border>
    <border>
      <left style="medium">
        <color rgb="FF002060"/>
      </left>
      <right style="thin">
        <color rgb="FF001489"/>
      </right>
      <top style="medium">
        <color rgb="FF002060"/>
      </top>
      <bottom style="medium">
        <color rgb="FF002060"/>
      </bottom>
      <diagonal/>
    </border>
    <border>
      <left style="thin">
        <color rgb="FF001489"/>
      </left>
      <right style="medium">
        <color rgb="FF001489"/>
      </right>
      <top style="medium">
        <color rgb="FF002060"/>
      </top>
      <bottom style="medium">
        <color rgb="FF002060"/>
      </bottom>
      <diagonal/>
    </border>
    <border>
      <left/>
      <right style="thin">
        <color rgb="FF001489"/>
      </right>
      <top style="medium">
        <color rgb="FF002060"/>
      </top>
      <bottom style="medium">
        <color rgb="FF002060"/>
      </bottom>
      <diagonal/>
    </border>
    <border>
      <left style="medium">
        <color rgb="FF001489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/>
      <bottom style="double">
        <color rgb="FF001489"/>
      </bottom>
      <diagonal/>
    </border>
    <border>
      <left style="medium">
        <color rgb="FF002060"/>
      </left>
      <right style="thin">
        <color rgb="FF001489"/>
      </right>
      <top style="medium">
        <color rgb="FF002060"/>
      </top>
      <bottom style="medium">
        <color rgb="FF001489"/>
      </bottom>
      <diagonal/>
    </border>
    <border>
      <left style="thin">
        <color rgb="FF001489"/>
      </left>
      <right style="thin">
        <color rgb="FF001489"/>
      </right>
      <top style="medium">
        <color rgb="FF002060"/>
      </top>
      <bottom style="medium">
        <color rgb="FF001489"/>
      </bottom>
      <diagonal/>
    </border>
    <border>
      <left style="thin">
        <color rgb="FF001489"/>
      </left>
      <right style="medium">
        <color rgb="FF002060"/>
      </right>
      <top style="medium">
        <color rgb="FF002060"/>
      </top>
      <bottom style="medium">
        <color rgb="FF001489"/>
      </bottom>
      <diagonal/>
    </border>
    <border>
      <left style="medium">
        <color rgb="FF002060"/>
      </left>
      <right style="thin">
        <color rgb="FF001489"/>
      </right>
      <top/>
      <bottom style="thin">
        <color rgb="FF001489"/>
      </bottom>
      <diagonal/>
    </border>
    <border>
      <left style="thin">
        <color rgb="FF001489"/>
      </left>
      <right style="medium">
        <color rgb="FF002060"/>
      </right>
      <top style="medium">
        <color rgb="FF001489"/>
      </top>
      <bottom style="thin">
        <color rgb="FF001489"/>
      </bottom>
      <diagonal/>
    </border>
    <border>
      <left style="medium">
        <color rgb="FF002060"/>
      </left>
      <right style="thin">
        <color rgb="FF001489"/>
      </right>
      <top style="thin">
        <color rgb="FF001489"/>
      </top>
      <bottom style="thin">
        <color rgb="FF001489"/>
      </bottom>
      <diagonal/>
    </border>
    <border>
      <left style="medium">
        <color rgb="FF002060"/>
      </left>
      <right style="thin">
        <color rgb="FF001489"/>
      </right>
      <top style="thin">
        <color rgb="FF001489"/>
      </top>
      <bottom style="medium">
        <color rgb="FF002060"/>
      </bottom>
      <diagonal/>
    </border>
    <border>
      <left style="thin">
        <color rgb="FF001489"/>
      </left>
      <right style="thin">
        <color rgb="FF001489"/>
      </right>
      <top style="thin">
        <color rgb="FF001489"/>
      </top>
      <bottom style="medium">
        <color rgb="FF002060"/>
      </bottom>
      <diagonal/>
    </border>
    <border>
      <left style="thin">
        <color rgb="FF001489"/>
      </left>
      <right style="medium">
        <color rgb="FF002060"/>
      </right>
      <top style="thin">
        <color rgb="FF001489"/>
      </top>
      <bottom style="medium">
        <color rgb="FF002060"/>
      </bottom>
      <diagonal/>
    </border>
    <border>
      <left style="thin">
        <color rgb="FF001489"/>
      </left>
      <right style="medium">
        <color rgb="FF002060"/>
      </right>
      <top/>
      <bottom style="thin">
        <color rgb="FF001489"/>
      </bottom>
      <diagonal/>
    </border>
    <border>
      <left style="thin">
        <color rgb="FF001489"/>
      </left>
      <right/>
      <top style="medium">
        <color rgb="FF002060"/>
      </top>
      <bottom style="medium">
        <color rgb="FF001489"/>
      </bottom>
      <diagonal/>
    </border>
    <border>
      <left/>
      <right style="thin">
        <color rgb="FF001489"/>
      </right>
      <top style="medium">
        <color rgb="FF002060"/>
      </top>
      <bottom style="medium">
        <color rgb="FF001489"/>
      </bottom>
      <diagonal/>
    </border>
    <border>
      <left/>
      <right/>
      <top style="medium">
        <color rgb="FF002060"/>
      </top>
      <bottom style="medium">
        <color rgb="FF001489"/>
      </bottom>
      <diagonal/>
    </border>
    <border>
      <left style="medium">
        <color rgb="FF002060"/>
      </left>
      <right style="thin">
        <color rgb="FF001489"/>
      </right>
      <top style="medium">
        <color rgb="FF001489"/>
      </top>
      <bottom/>
      <diagonal/>
    </border>
    <border>
      <left style="medium">
        <color rgb="FF002060"/>
      </left>
      <right style="thin">
        <color rgb="FF001489"/>
      </right>
      <top/>
      <bottom/>
      <diagonal/>
    </border>
    <border>
      <left style="medium">
        <color rgb="FF002060"/>
      </left>
      <right style="thin">
        <color rgb="FF001489"/>
      </right>
      <top style="thin">
        <color rgb="FF001489"/>
      </top>
      <bottom/>
      <diagonal/>
    </border>
    <border>
      <left style="thin">
        <color rgb="FF001489"/>
      </left>
      <right style="thin">
        <color rgb="FF001489"/>
      </right>
      <top style="thin">
        <color rgb="FF001489"/>
      </top>
      <bottom/>
      <diagonal/>
    </border>
    <border>
      <left style="medium">
        <color theme="4" tint="-0.499984740745262"/>
      </left>
      <right/>
      <top style="thin">
        <color rgb="FF001489"/>
      </top>
      <bottom style="thin">
        <color rgb="FF001489"/>
      </bottom>
      <diagonal/>
    </border>
  </borders>
  <cellStyleXfs count="2">
    <xf numFmtId="0" fontId="0" fillId="0" borderId="0"/>
    <xf numFmtId="0" fontId="9" fillId="0" borderId="0"/>
  </cellStyleXfs>
  <cellXfs count="256">
    <xf numFmtId="0" fontId="0" fillId="0" borderId="0" xfId="0"/>
    <xf numFmtId="49" fontId="0" fillId="0" borderId="13" xfId="0" applyNumberFormat="1" applyBorder="1" applyAlignment="1" applyProtection="1">
      <alignment vertical="top"/>
      <protection locked="0"/>
    </xf>
    <xf numFmtId="49" fontId="0" fillId="0" borderId="6" xfId="0" applyNumberFormat="1" applyBorder="1" applyAlignment="1" applyProtection="1">
      <alignment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165" fontId="0" fillId="0" borderId="6" xfId="0" applyNumberFormat="1" applyBorder="1" applyAlignment="1" applyProtection="1">
      <alignment vertical="top"/>
      <protection locked="0"/>
    </xf>
    <xf numFmtId="0" fontId="0" fillId="0" borderId="14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165" fontId="0" fillId="0" borderId="14" xfId="0" applyNumberFormat="1" applyBorder="1" applyAlignment="1" applyProtection="1">
      <alignment vertical="top"/>
      <protection locked="0"/>
    </xf>
    <xf numFmtId="166" fontId="0" fillId="0" borderId="13" xfId="0" applyNumberFormat="1" applyBorder="1" applyAlignment="1" applyProtection="1">
      <alignment vertical="top"/>
      <protection locked="0"/>
    </xf>
    <xf numFmtId="167" fontId="0" fillId="0" borderId="6" xfId="0" applyNumberForma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vertical="top"/>
      <protection locked="0"/>
    </xf>
    <xf numFmtId="49" fontId="0" fillId="0" borderId="14" xfId="0" applyNumberFormat="1" applyBorder="1" applyAlignment="1" applyProtection="1">
      <alignment vertical="top"/>
      <protection locked="0"/>
    </xf>
    <xf numFmtId="0" fontId="9" fillId="0" borderId="0" xfId="1"/>
    <xf numFmtId="0" fontId="6" fillId="0" borderId="0" xfId="1" applyFont="1"/>
    <xf numFmtId="0" fontId="1" fillId="0" borderId="0" xfId="1" applyFont="1" applyAlignment="1">
      <alignment vertical="center"/>
    </xf>
    <xf numFmtId="0" fontId="10" fillId="9" borderId="16" xfId="1" applyFont="1" applyFill="1" applyBorder="1"/>
    <xf numFmtId="164" fontId="9" fillId="0" borderId="0" xfId="1" applyNumberFormat="1"/>
    <xf numFmtId="168" fontId="9" fillId="0" borderId="0" xfId="1" applyNumberFormat="1"/>
    <xf numFmtId="0" fontId="3" fillId="0" borderId="0" xfId="1" applyFont="1" applyAlignment="1">
      <alignment vertical="center" wrapText="1"/>
    </xf>
    <xf numFmtId="0" fontId="9" fillId="0" borderId="0" xfId="1" quotePrefix="1"/>
    <xf numFmtId="0" fontId="9" fillId="0" borderId="0" xfId="1" applyFill="1"/>
    <xf numFmtId="0" fontId="9" fillId="0" borderId="0" xfId="1" applyNumberFormat="1" applyFill="1"/>
    <xf numFmtId="0" fontId="9" fillId="0" borderId="0" xfId="1" applyNumberFormat="1"/>
    <xf numFmtId="0" fontId="0" fillId="0" borderId="4" xfId="0" applyBorder="1" applyAlignment="1" applyProtection="1">
      <alignment horizontal="left" vertical="top"/>
      <protection locked="0"/>
    </xf>
    <xf numFmtId="0" fontId="14" fillId="13" borderId="25" xfId="1" applyNumberFormat="1" applyFont="1" applyFill="1" applyBorder="1" applyAlignment="1"/>
    <xf numFmtId="0" fontId="9" fillId="14" borderId="26" xfId="1" applyNumberFormat="1" applyFont="1" applyFill="1" applyBorder="1" applyAlignment="1"/>
    <xf numFmtId="0" fontId="17" fillId="0" borderId="13" xfId="0" applyFont="1" applyBorder="1" applyAlignment="1" applyProtection="1">
      <alignment horizontal="left" vertical="top"/>
      <protection locked="0"/>
    </xf>
    <xf numFmtId="0" fontId="0" fillId="0" borderId="0" xfId="0" applyProtection="1">
      <protection hidden="1"/>
    </xf>
    <xf numFmtId="0" fontId="6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0" fillId="0" borderId="0" xfId="0" applyProtection="1"/>
    <xf numFmtId="0" fontId="5" fillId="2" borderId="13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/>
    </xf>
    <xf numFmtId="5" fontId="0" fillId="0" borderId="15" xfId="0" applyNumberFormat="1" applyBorder="1" applyAlignment="1" applyProtection="1">
      <alignment horizontal="center"/>
    </xf>
    <xf numFmtId="5" fontId="0" fillId="0" borderId="9" xfId="0" applyNumberFormat="1" applyBorder="1" applyAlignment="1" applyProtection="1">
      <alignment horizontal="center"/>
    </xf>
    <xf numFmtId="5" fontId="0" fillId="0" borderId="10" xfId="0" applyNumberFormat="1" applyBorder="1" applyAlignment="1" applyProtection="1">
      <alignment horizontal="center"/>
    </xf>
    <xf numFmtId="5" fontId="0" fillId="0" borderId="20" xfId="0" applyNumberFormat="1" applyBorder="1" applyAlignment="1" applyProtection="1">
      <alignment horizontal="center"/>
    </xf>
    <xf numFmtId="5" fontId="0" fillId="0" borderId="0" xfId="0" applyNumberFormat="1" applyBorder="1" applyAlignment="1" applyProtection="1">
      <alignment horizontal="center"/>
    </xf>
    <xf numFmtId="5" fontId="0" fillId="0" borderId="21" xfId="0" applyNumberFormat="1" applyBorder="1" applyAlignment="1" applyProtection="1">
      <alignment horizontal="center"/>
    </xf>
    <xf numFmtId="0" fontId="5" fillId="2" borderId="50" xfId="0" applyFont="1" applyFill="1" applyBorder="1" applyAlignment="1" applyProtection="1">
      <alignment horizontal="center"/>
    </xf>
    <xf numFmtId="0" fontId="5" fillId="2" borderId="56" xfId="0" applyFont="1" applyFill="1" applyBorder="1" applyAlignment="1" applyProtection="1">
      <alignment horizontal="center"/>
    </xf>
    <xf numFmtId="5" fontId="0" fillId="0" borderId="58" xfId="0" applyNumberFormat="1" applyBorder="1" applyAlignment="1" applyProtection="1">
      <alignment horizontal="center"/>
    </xf>
    <xf numFmtId="5" fontId="0" fillId="0" borderId="59" xfId="0" applyNumberFormat="1" applyBorder="1" applyAlignment="1" applyProtection="1">
      <alignment horizontal="center"/>
    </xf>
    <xf numFmtId="5" fontId="0" fillId="0" borderId="60" xfId="0" applyNumberFormat="1" applyBorder="1" applyAlignment="1" applyProtection="1">
      <alignment horizontal="center"/>
    </xf>
    <xf numFmtId="0" fontId="7" fillId="0" borderId="0" xfId="0" applyFont="1" applyProtection="1"/>
    <xf numFmtId="0" fontId="9" fillId="0" borderId="24" xfId="0" applyFont="1" applyBorder="1" applyAlignment="1" applyProtection="1">
      <alignment horizontal="center"/>
      <protection locked="0"/>
    </xf>
    <xf numFmtId="0" fontId="2" fillId="2" borderId="51" xfId="0" applyFont="1" applyFill="1" applyBorder="1" applyAlignment="1" applyProtection="1">
      <alignment horizontal="right"/>
    </xf>
    <xf numFmtId="0" fontId="2" fillId="2" borderId="64" xfId="0" applyFont="1" applyFill="1" applyBorder="1" applyAlignment="1" applyProtection="1">
      <alignment horizontal="right"/>
    </xf>
    <xf numFmtId="0" fontId="2" fillId="2" borderId="56" xfId="0" applyFont="1" applyFill="1" applyBorder="1" applyAlignment="1" applyProtection="1"/>
    <xf numFmtId="0" fontId="2" fillId="2" borderId="6" xfId="0" applyFont="1" applyFill="1" applyBorder="1" applyAlignment="1" applyProtection="1">
      <alignment horizontal="right"/>
    </xf>
    <xf numFmtId="0" fontId="2" fillId="2" borderId="28" xfId="0" applyFont="1" applyFill="1" applyBorder="1" applyAlignment="1" applyProtection="1">
      <alignment horizontal="right"/>
    </xf>
    <xf numFmtId="0" fontId="0" fillId="0" borderId="0" xfId="0" applyBorder="1" applyAlignment="1" applyProtection="1"/>
    <xf numFmtId="0" fontId="0" fillId="0" borderId="0" xfId="0" applyBorder="1" applyAlignment="1" applyProtection="1">
      <alignment wrapText="1"/>
    </xf>
    <xf numFmtId="0" fontId="2" fillId="3" borderId="15" xfId="0" applyFont="1" applyFill="1" applyBorder="1" applyAlignment="1" applyProtection="1">
      <alignment wrapText="1"/>
    </xf>
    <xf numFmtId="0" fontId="2" fillId="3" borderId="9" xfId="0" applyFont="1" applyFill="1" applyBorder="1" applyAlignment="1" applyProtection="1">
      <alignment wrapText="1"/>
    </xf>
    <xf numFmtId="0" fontId="2" fillId="3" borderId="9" xfId="0" applyFont="1" applyFill="1" applyBorder="1" applyAlignment="1" applyProtection="1">
      <alignment horizontal="center" wrapText="1"/>
    </xf>
    <xf numFmtId="0" fontId="2" fillId="4" borderId="15" xfId="0" applyFont="1" applyFill="1" applyBorder="1" applyAlignment="1" applyProtection="1">
      <alignment vertical="center" wrapText="1"/>
    </xf>
    <xf numFmtId="0" fontId="2" fillId="5" borderId="9" xfId="0" applyFont="1" applyFill="1" applyBorder="1" applyAlignment="1" applyProtection="1">
      <alignment wrapText="1"/>
    </xf>
    <xf numFmtId="0" fontId="2" fillId="5" borderId="9" xfId="0" applyFont="1" applyFill="1" applyBorder="1" applyAlignment="1" applyProtection="1">
      <alignment horizontal="center" wrapText="1"/>
    </xf>
    <xf numFmtId="0" fontId="2" fillId="5" borderId="10" xfId="0" applyFont="1" applyFill="1" applyBorder="1" applyAlignment="1" applyProtection="1">
      <alignment horizontal="center" wrapText="1"/>
    </xf>
    <xf numFmtId="0" fontId="2" fillId="6" borderId="15" xfId="0" applyFont="1" applyFill="1" applyBorder="1" applyAlignment="1" applyProtection="1">
      <alignment horizontal="center" wrapText="1"/>
    </xf>
    <xf numFmtId="0" fontId="2" fillId="6" borderId="9" xfId="0" applyFont="1" applyFill="1" applyBorder="1" applyAlignment="1" applyProtection="1">
      <alignment horizontal="center" wrapText="1"/>
    </xf>
    <xf numFmtId="0" fontId="2" fillId="6" borderId="9" xfId="0" applyFont="1" applyFill="1" applyBorder="1" applyAlignment="1" applyProtection="1">
      <alignment horizontal="left" wrapText="1"/>
    </xf>
    <xf numFmtId="0" fontId="2" fillId="6" borderId="10" xfId="0" applyFont="1" applyFill="1" applyBorder="1" applyAlignment="1" applyProtection="1">
      <alignment horizontal="center" wrapText="1"/>
    </xf>
    <xf numFmtId="0" fontId="2" fillId="7" borderId="15" xfId="0" applyFont="1" applyFill="1" applyBorder="1" applyAlignment="1" applyProtection="1">
      <alignment horizontal="center" wrapText="1"/>
    </xf>
    <xf numFmtId="0" fontId="2" fillId="7" borderId="9" xfId="0" applyFont="1" applyFill="1" applyBorder="1" applyAlignment="1" applyProtection="1">
      <alignment horizontal="center" wrapText="1"/>
    </xf>
    <xf numFmtId="0" fontId="2" fillId="7" borderId="9" xfId="0" applyFont="1" applyFill="1" applyBorder="1" applyAlignment="1" applyProtection="1">
      <alignment wrapText="1"/>
    </xf>
    <xf numFmtId="0" fontId="2" fillId="7" borderId="9" xfId="0" applyFont="1" applyFill="1" applyBorder="1" applyAlignment="1" applyProtection="1">
      <alignment horizontal="left" wrapText="1"/>
    </xf>
    <xf numFmtId="0" fontId="2" fillId="7" borderId="10" xfId="0" applyFont="1" applyFill="1" applyBorder="1" applyAlignment="1" applyProtection="1">
      <alignment horizontal="center" wrapText="1"/>
    </xf>
    <xf numFmtId="0" fontId="2" fillId="8" borderId="15" xfId="0" applyFont="1" applyFill="1" applyBorder="1" applyAlignment="1" applyProtection="1">
      <alignment horizontal="center" wrapText="1"/>
    </xf>
    <xf numFmtId="0" fontId="2" fillId="8" borderId="10" xfId="0" applyFont="1" applyFill="1" applyBorder="1" applyAlignment="1" applyProtection="1">
      <alignment horizontal="center" wrapText="1"/>
    </xf>
    <xf numFmtId="164" fontId="2" fillId="2" borderId="15" xfId="0" applyNumberFormat="1" applyFont="1" applyFill="1" applyBorder="1" applyAlignment="1" applyProtection="1">
      <alignment horizontal="center" wrapText="1"/>
    </xf>
    <xf numFmtId="164" fontId="2" fillId="11" borderId="15" xfId="0" applyNumberFormat="1" applyFont="1" applyFill="1" applyBorder="1" applyAlignment="1" applyProtection="1">
      <alignment horizontal="center" wrapText="1"/>
    </xf>
    <xf numFmtId="164" fontId="2" fillId="10" borderId="15" xfId="0" applyNumberFormat="1" applyFont="1" applyFill="1" applyBorder="1" applyAlignment="1" applyProtection="1">
      <alignment horizontal="center" wrapText="1"/>
    </xf>
    <xf numFmtId="164" fontId="2" fillId="10" borderId="35" xfId="0" applyNumberFormat="1" applyFont="1" applyFill="1" applyBorder="1" applyAlignment="1" applyProtection="1">
      <alignment horizontal="center" wrapText="1"/>
    </xf>
    <xf numFmtId="0" fontId="2" fillId="16" borderId="23" xfId="0" applyFont="1" applyFill="1" applyBorder="1" applyAlignment="1" applyProtection="1">
      <alignment horizontal="center"/>
      <protection hidden="1"/>
    </xf>
    <xf numFmtId="0" fontId="15" fillId="15" borderId="2" xfId="0" applyFont="1" applyFill="1" applyBorder="1" applyAlignment="1" applyProtection="1">
      <alignment horizontal="center"/>
      <protection hidden="1"/>
    </xf>
    <xf numFmtId="168" fontId="18" fillId="16" borderId="22" xfId="0" applyNumberFormat="1" applyFont="1" applyFill="1" applyBorder="1" applyAlignment="1" applyProtection="1">
      <alignment horizontal="center" wrapText="1"/>
      <protection hidden="1"/>
    </xf>
    <xf numFmtId="0" fontId="15" fillId="15" borderId="11" xfId="0" applyFont="1" applyFill="1" applyBorder="1" applyAlignment="1" applyProtection="1">
      <alignment horizontal="center" wrapText="1"/>
      <protection hidden="1"/>
    </xf>
    <xf numFmtId="164" fontId="15" fillId="15" borderId="69" xfId="0" applyNumberFormat="1" applyFont="1" applyFill="1" applyBorder="1" applyAlignment="1" applyProtection="1">
      <alignment horizontal="center" wrapText="1"/>
      <protection hidden="1"/>
    </xf>
    <xf numFmtId="164" fontId="16" fillId="15" borderId="69" xfId="0" applyNumberFormat="1" applyFont="1" applyFill="1" applyBorder="1" applyAlignment="1" applyProtection="1">
      <alignment horizontal="center" wrapText="1"/>
      <protection hidden="1"/>
    </xf>
    <xf numFmtId="164" fontId="15" fillId="15" borderId="40" xfId="0" applyNumberFormat="1" applyFont="1" applyFill="1" applyBorder="1" applyAlignment="1" applyProtection="1">
      <alignment horizontal="center" wrapText="1"/>
      <protection hidden="1"/>
    </xf>
    <xf numFmtId="164" fontId="16" fillId="15" borderId="40" xfId="0" applyNumberFormat="1" applyFont="1" applyFill="1" applyBorder="1" applyAlignment="1" applyProtection="1">
      <alignment horizontal="center" wrapText="1"/>
      <protection hidden="1"/>
    </xf>
    <xf numFmtId="164" fontId="15" fillId="15" borderId="41" xfId="0" applyNumberFormat="1" applyFont="1" applyFill="1" applyBorder="1" applyAlignment="1" applyProtection="1">
      <alignment horizontal="center" wrapText="1"/>
      <protection hidden="1"/>
    </xf>
    <xf numFmtId="164" fontId="15" fillId="15" borderId="39" xfId="0" applyNumberFormat="1" applyFont="1" applyFill="1" applyBorder="1" applyAlignment="1" applyProtection="1">
      <alignment horizontal="center" wrapText="1"/>
      <protection hidden="1"/>
    </xf>
    <xf numFmtId="169" fontId="0" fillId="0" borderId="44" xfId="0" applyNumberFormat="1" applyBorder="1" applyAlignment="1" applyProtection="1">
      <alignment horizontal="right" vertical="top"/>
      <protection hidden="1"/>
    </xf>
    <xf numFmtId="168" fontId="0" fillId="0" borderId="0" xfId="0" applyNumberFormat="1" applyProtection="1">
      <protection hidden="1"/>
    </xf>
    <xf numFmtId="168" fontId="0" fillId="0" borderId="42" xfId="0" applyNumberFormat="1" applyBorder="1" applyProtection="1">
      <protection hidden="1"/>
    </xf>
    <xf numFmtId="0" fontId="0" fillId="0" borderId="45" xfId="0" applyBorder="1" applyProtection="1">
      <protection hidden="1"/>
    </xf>
    <xf numFmtId="0" fontId="0" fillId="0" borderId="42" xfId="0" applyBorder="1" applyProtection="1">
      <protection hidden="1"/>
    </xf>
    <xf numFmtId="0" fontId="0" fillId="0" borderId="5" xfId="0" applyBorder="1" applyAlignment="1" applyProtection="1">
      <alignment horizontal="center" vertical="top"/>
      <protection hidden="1"/>
    </xf>
    <xf numFmtId="168" fontId="0" fillId="0" borderId="43" xfId="0" applyNumberFormat="1" applyBorder="1" applyProtection="1">
      <protection hidden="1"/>
    </xf>
    <xf numFmtId="0" fontId="0" fillId="0" borderId="46" xfId="0" applyBorder="1" applyProtection="1">
      <protection hidden="1"/>
    </xf>
    <xf numFmtId="0" fontId="0" fillId="0" borderId="43" xfId="0" applyBorder="1" applyProtection="1">
      <protection hidden="1"/>
    </xf>
    <xf numFmtId="0" fontId="2" fillId="2" borderId="76" xfId="0" applyFont="1" applyFill="1" applyBorder="1" applyProtection="1"/>
    <xf numFmtId="0" fontId="2" fillId="2" borderId="77" xfId="0" applyFont="1" applyFill="1" applyBorder="1" applyProtection="1"/>
    <xf numFmtId="164" fontId="2" fillId="2" borderId="78" xfId="0" applyNumberFormat="1" applyFont="1" applyFill="1" applyBorder="1" applyAlignment="1" applyProtection="1">
      <alignment horizontal="center" wrapText="1"/>
    </xf>
    <xf numFmtId="164" fontId="2" fillId="11" borderId="78" xfId="0" applyNumberFormat="1" applyFont="1" applyFill="1" applyBorder="1" applyAlignment="1" applyProtection="1">
      <alignment horizontal="center" wrapText="1"/>
    </xf>
    <xf numFmtId="164" fontId="2" fillId="10" borderId="78" xfId="0" applyNumberFormat="1" applyFont="1" applyFill="1" applyBorder="1" applyAlignment="1" applyProtection="1">
      <alignment horizontal="center" wrapText="1"/>
    </xf>
    <xf numFmtId="0" fontId="2" fillId="2" borderId="79" xfId="0" applyFont="1" applyFill="1" applyBorder="1" applyAlignment="1" applyProtection="1">
      <alignment horizontal="right"/>
    </xf>
    <xf numFmtId="0" fontId="2" fillId="2" borderId="80" xfId="0" applyFont="1" applyFill="1" applyBorder="1" applyAlignment="1" applyProtection="1">
      <alignment vertical="center"/>
    </xf>
    <xf numFmtId="0" fontId="2" fillId="2" borderId="72" xfId="0" applyFont="1" applyFill="1" applyBorder="1" applyAlignment="1" applyProtection="1">
      <alignment vertical="center"/>
    </xf>
    <xf numFmtId="170" fontId="0" fillId="0" borderId="73" xfId="0" applyNumberFormat="1" applyBorder="1" applyAlignment="1" applyProtection="1">
      <alignment vertical="center"/>
    </xf>
    <xf numFmtId="171" fontId="0" fillId="0" borderId="81" xfId="0" applyNumberFormat="1" applyBorder="1" applyAlignment="1" applyProtection="1">
      <alignment vertical="center"/>
    </xf>
    <xf numFmtId="0" fontId="2" fillId="2" borderId="82" xfId="0" applyFont="1" applyFill="1" applyBorder="1" applyAlignment="1" applyProtection="1">
      <alignment vertical="center"/>
    </xf>
    <xf numFmtId="0" fontId="2" fillId="2" borderId="30" xfId="0" applyFont="1" applyFill="1" applyBorder="1" applyAlignment="1" applyProtection="1">
      <alignment vertical="center"/>
    </xf>
    <xf numFmtId="171" fontId="0" fillId="0" borderId="83" xfId="0" applyNumberFormat="1" applyBorder="1" applyAlignment="1" applyProtection="1">
      <alignment vertical="center"/>
    </xf>
    <xf numFmtId="0" fontId="2" fillId="2" borderId="84" xfId="0" applyFont="1" applyFill="1" applyBorder="1" applyAlignment="1" applyProtection="1">
      <alignment vertical="center"/>
    </xf>
    <xf numFmtId="0" fontId="2" fillId="2" borderId="70" xfId="0" applyFont="1" applyFill="1" applyBorder="1" applyAlignment="1" applyProtection="1">
      <alignment vertical="center"/>
    </xf>
    <xf numFmtId="170" fontId="6" fillId="0" borderId="71" xfId="0" applyNumberFormat="1" applyFont="1" applyBorder="1" applyAlignment="1" applyProtection="1">
      <alignment vertical="center"/>
    </xf>
    <xf numFmtId="171" fontId="6" fillId="0" borderId="85" xfId="0" applyNumberFormat="1" applyFont="1" applyBorder="1" applyAlignment="1" applyProtection="1">
      <alignment vertical="center"/>
    </xf>
    <xf numFmtId="170" fontId="0" fillId="0" borderId="75" xfId="0" applyNumberFormat="1" applyBorder="1" applyAlignment="1" applyProtection="1">
      <alignment vertical="center"/>
    </xf>
    <xf numFmtId="0" fontId="2" fillId="2" borderId="93" xfId="0" applyFont="1" applyFill="1" applyBorder="1" applyAlignment="1" applyProtection="1">
      <alignment vertical="center"/>
    </xf>
    <xf numFmtId="0" fontId="2" fillId="2" borderId="94" xfId="0" applyFont="1" applyFill="1" applyBorder="1" applyAlignment="1" applyProtection="1">
      <alignment vertical="center"/>
    </xf>
    <xf numFmtId="170" fontId="6" fillId="0" borderId="95" xfId="0" applyNumberFormat="1" applyFont="1" applyBorder="1" applyAlignment="1" applyProtection="1">
      <alignment vertical="center"/>
    </xf>
    <xf numFmtId="171" fontId="6" fillId="0" borderId="96" xfId="0" applyNumberFormat="1" applyFont="1" applyBorder="1" applyAlignment="1" applyProtection="1">
      <alignment vertical="center"/>
    </xf>
    <xf numFmtId="0" fontId="2" fillId="2" borderId="87" xfId="0" applyFont="1" applyFill="1" applyBorder="1" applyAlignment="1" applyProtection="1">
      <alignment vertical="center"/>
    </xf>
    <xf numFmtId="0" fontId="2" fillId="2" borderId="88" xfId="0" applyFont="1" applyFill="1" applyBorder="1" applyAlignment="1" applyProtection="1">
      <alignment vertical="center"/>
    </xf>
    <xf numFmtId="170" fontId="6" fillId="0" borderId="91" xfId="0" applyNumberFormat="1" applyFont="1" applyBorder="1" applyAlignment="1" applyProtection="1">
      <alignment vertical="center"/>
    </xf>
    <xf numFmtId="171" fontId="6" fillId="0" borderId="92" xfId="0" applyNumberFormat="1" applyFont="1" applyBorder="1" applyAlignment="1" applyProtection="1">
      <alignment vertical="center"/>
    </xf>
    <xf numFmtId="170" fontId="2" fillId="2" borderId="78" xfId="0" applyNumberFormat="1" applyFont="1" applyFill="1" applyBorder="1" applyAlignment="1" applyProtection="1">
      <alignment horizontal="center"/>
    </xf>
    <xf numFmtId="170" fontId="2" fillId="2" borderId="78" xfId="0" applyNumberFormat="1" applyFont="1" applyFill="1" applyBorder="1" applyAlignment="1" applyProtection="1"/>
    <xf numFmtId="171" fontId="3" fillId="0" borderId="0" xfId="0" applyNumberFormat="1" applyFont="1" applyAlignment="1" applyProtection="1">
      <alignment vertical="center"/>
    </xf>
    <xf numFmtId="171" fontId="4" fillId="0" borderId="0" xfId="0" applyNumberFormat="1" applyFont="1" applyAlignment="1" applyProtection="1">
      <alignment vertical="center"/>
    </xf>
    <xf numFmtId="0" fontId="23" fillId="0" borderId="0" xfId="0" applyFont="1" applyProtection="1"/>
    <xf numFmtId="0" fontId="2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18" fillId="0" borderId="0" xfId="0" applyFont="1" applyProtection="1"/>
    <xf numFmtId="0" fontId="24" fillId="0" borderId="0" xfId="0" applyFont="1" applyProtection="1"/>
    <xf numFmtId="165" fontId="0" fillId="0" borderId="0" xfId="0" applyNumberFormat="1" applyAlignment="1" applyProtection="1">
      <alignment horizontal="right"/>
    </xf>
    <xf numFmtId="0" fontId="2" fillId="0" borderId="0" xfId="0" applyFont="1" applyProtection="1"/>
    <xf numFmtId="171" fontId="0" fillId="0" borderId="0" xfId="0" applyNumberFormat="1" applyProtection="1"/>
    <xf numFmtId="0" fontId="2" fillId="2" borderId="98" xfId="0" applyFont="1" applyFill="1" applyBorder="1" applyAlignment="1" applyProtection="1">
      <alignment horizontal="center" wrapText="1"/>
    </xf>
    <xf numFmtId="0" fontId="2" fillId="2" borderId="109" xfId="0" applyFont="1" applyFill="1" applyBorder="1" applyAlignment="1" applyProtection="1">
      <alignment horizontal="left" wrapText="1"/>
    </xf>
    <xf numFmtId="0" fontId="2" fillId="2" borderId="99" xfId="0" applyFont="1" applyFill="1" applyBorder="1" applyAlignment="1" applyProtection="1">
      <alignment horizontal="center" wrapText="1"/>
    </xf>
    <xf numFmtId="0" fontId="2" fillId="2" borderId="100" xfId="0" applyFont="1" applyFill="1" applyBorder="1" applyAlignment="1" applyProtection="1">
      <alignment horizontal="center" wrapText="1"/>
    </xf>
    <xf numFmtId="0" fontId="0" fillId="0" borderId="74" xfId="0" applyBorder="1" applyAlignment="1" applyProtection="1">
      <alignment horizontal="left" vertical="center"/>
    </xf>
    <xf numFmtId="168" fontId="0" fillId="0" borderId="74" xfId="0" applyNumberFormat="1" applyBorder="1" applyAlignment="1" applyProtection="1">
      <alignment vertical="center"/>
    </xf>
    <xf numFmtId="171" fontId="0" fillId="0" borderId="74" xfId="0" applyNumberFormat="1" applyBorder="1" applyAlignment="1" applyProtection="1">
      <alignment vertical="center"/>
    </xf>
    <xf numFmtId="44" fontId="0" fillId="0" borderId="102" xfId="0" applyNumberFormat="1" applyBorder="1" applyAlignment="1" applyProtection="1">
      <alignment vertical="center"/>
    </xf>
    <xf numFmtId="44" fontId="0" fillId="0" borderId="107" xfId="0" applyNumberFormat="1" applyBorder="1" applyAlignment="1" applyProtection="1">
      <alignment vertical="center"/>
    </xf>
    <xf numFmtId="168" fontId="0" fillId="0" borderId="74" xfId="0" applyNumberFormat="1" applyBorder="1" applyAlignment="1" applyProtection="1">
      <alignment horizontal="right" vertical="center"/>
    </xf>
    <xf numFmtId="0" fontId="0" fillId="0" borderId="101" xfId="0" applyBorder="1" applyAlignment="1" applyProtection="1">
      <alignment horizontal="right" vertical="center" indent="1"/>
    </xf>
    <xf numFmtId="168" fontId="0" fillId="0" borderId="6" xfId="0" applyNumberFormat="1" applyBorder="1" applyAlignment="1" applyProtection="1">
      <alignment vertical="center"/>
    </xf>
    <xf numFmtId="171" fontId="0" fillId="0" borderId="6" xfId="0" applyNumberFormat="1" applyBorder="1" applyAlignment="1" applyProtection="1">
      <alignment vertical="center"/>
    </xf>
    <xf numFmtId="0" fontId="0" fillId="0" borderId="103" xfId="0" applyBorder="1" applyAlignment="1" applyProtection="1">
      <alignment horizontal="right" vertical="center" indent="1"/>
    </xf>
    <xf numFmtId="0" fontId="0" fillId="0" borderId="86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0" borderId="113" xfId="0" applyBorder="1" applyAlignment="1" applyProtection="1">
      <alignment horizontal="right" vertical="center" indent="1"/>
    </xf>
    <xf numFmtId="0" fontId="0" fillId="0" borderId="114" xfId="0" applyBorder="1" applyAlignment="1" applyProtection="1">
      <alignment horizontal="left" vertical="center"/>
    </xf>
    <xf numFmtId="171" fontId="0" fillId="0" borderId="114" xfId="0" applyNumberFormat="1" applyBorder="1" applyAlignment="1" applyProtection="1">
      <alignment vertical="center"/>
    </xf>
    <xf numFmtId="0" fontId="0" fillId="0" borderId="104" xfId="0" applyBorder="1" applyAlignment="1" applyProtection="1">
      <alignment horizontal="right" vertical="center" indent="1"/>
    </xf>
    <xf numFmtId="0" fontId="0" fillId="0" borderId="105" xfId="0" applyBorder="1" applyAlignment="1" applyProtection="1">
      <alignment horizontal="left" vertical="center"/>
    </xf>
    <xf numFmtId="168" fontId="0" fillId="0" borderId="105" xfId="0" applyNumberFormat="1" applyBorder="1" applyAlignment="1" applyProtection="1">
      <alignment vertical="center"/>
    </xf>
    <xf numFmtId="171" fontId="0" fillId="0" borderId="105" xfId="0" applyNumberFormat="1" applyBorder="1" applyAlignment="1" applyProtection="1">
      <alignment vertical="center"/>
    </xf>
    <xf numFmtId="44" fontId="0" fillId="0" borderId="106" xfId="0" applyNumberFormat="1" applyBorder="1" applyAlignment="1" applyProtection="1">
      <alignment vertical="center"/>
    </xf>
    <xf numFmtId="44" fontId="6" fillId="0" borderId="97" xfId="0" applyNumberFormat="1" applyFont="1" applyBorder="1" applyProtection="1"/>
    <xf numFmtId="169" fontId="28" fillId="0" borderId="0" xfId="0" applyNumberFormat="1" applyFont="1" applyProtection="1"/>
    <xf numFmtId="0" fontId="31" fillId="0" borderId="0" xfId="0" applyFont="1" applyProtection="1"/>
    <xf numFmtId="0" fontId="6" fillId="0" borderId="0" xfId="0" applyFont="1" applyProtection="1"/>
    <xf numFmtId="0" fontId="15" fillId="15" borderId="37" xfId="0" applyFont="1" applyFill="1" applyBorder="1" applyAlignment="1" applyProtection="1">
      <alignment horizontal="center"/>
      <protection hidden="1"/>
    </xf>
    <xf numFmtId="0" fontId="15" fillId="15" borderId="38" xfId="0" applyFont="1" applyFill="1" applyBorder="1" applyAlignment="1" applyProtection="1">
      <alignment horizontal="center"/>
      <protection hidden="1"/>
    </xf>
    <xf numFmtId="0" fontId="15" fillId="15" borderId="36" xfId="0" applyFont="1" applyFill="1" applyBorder="1" applyAlignment="1" applyProtection="1">
      <alignment horizontal="center"/>
      <protection hidden="1"/>
    </xf>
    <xf numFmtId="0" fontId="15" fillId="15" borderId="47" xfId="0" applyFont="1" applyFill="1" applyBorder="1" applyAlignment="1" applyProtection="1">
      <alignment horizontal="center"/>
      <protection hidden="1"/>
    </xf>
    <xf numFmtId="0" fontId="15" fillId="15" borderId="48" xfId="0" applyFont="1" applyFill="1" applyBorder="1" applyAlignment="1" applyProtection="1">
      <alignment horizontal="center"/>
      <protection hidden="1"/>
    </xf>
    <xf numFmtId="0" fontId="15" fillId="15" borderId="49" xfId="0" applyFont="1" applyFill="1" applyBorder="1" applyAlignment="1" applyProtection="1">
      <alignment horizontal="center"/>
      <protection hidden="1"/>
    </xf>
    <xf numFmtId="0" fontId="2" fillId="2" borderId="47" xfId="0" applyFont="1" applyFill="1" applyBorder="1" applyAlignment="1" applyProtection="1">
      <alignment horizontal="center"/>
    </xf>
    <xf numFmtId="0" fontId="2" fillId="2" borderId="48" xfId="0" applyFont="1" applyFill="1" applyBorder="1" applyAlignment="1" applyProtection="1">
      <alignment horizontal="center"/>
    </xf>
    <xf numFmtId="0" fontId="2" fillId="2" borderId="49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5" fillId="2" borderId="57" xfId="0" applyFont="1" applyFill="1" applyBorder="1" applyAlignment="1" applyProtection="1">
      <alignment horizontal="center"/>
    </xf>
    <xf numFmtId="5" fontId="0" fillId="0" borderId="61" xfId="0" applyNumberFormat="1" applyBorder="1" applyAlignment="1" applyProtection="1">
      <alignment horizontal="center"/>
    </xf>
    <xf numFmtId="5" fontId="0" fillId="0" borderId="62" xfId="0" applyNumberFormat="1" applyBorder="1" applyAlignment="1" applyProtection="1">
      <alignment horizontal="center"/>
    </xf>
    <xf numFmtId="5" fontId="0" fillId="0" borderId="63" xfId="0" applyNumberFormat="1" applyBorder="1" applyAlignment="1" applyProtection="1">
      <alignment horizontal="center"/>
    </xf>
    <xf numFmtId="0" fontId="2" fillId="12" borderId="31" xfId="0" applyFont="1" applyFill="1" applyBorder="1" applyAlignment="1" applyProtection="1">
      <alignment horizontal="center"/>
    </xf>
    <xf numFmtId="0" fontId="2" fillId="12" borderId="29" xfId="0" applyFont="1" applyFill="1" applyBorder="1" applyAlignment="1" applyProtection="1">
      <alignment horizontal="center"/>
    </xf>
    <xf numFmtId="0" fontId="2" fillId="12" borderId="32" xfId="0" applyFont="1" applyFill="1" applyBorder="1" applyAlignment="1" applyProtection="1">
      <alignment horizontal="center"/>
    </xf>
    <xf numFmtId="0" fontId="2" fillId="2" borderId="51" xfId="0" applyFont="1" applyFill="1" applyBorder="1" applyAlignment="1" applyProtection="1">
      <alignment horizontal="center"/>
    </xf>
    <xf numFmtId="0" fontId="2" fillId="2" borderId="52" xfId="0" applyFont="1" applyFill="1" applyBorder="1" applyAlignment="1" applyProtection="1">
      <alignment horizontal="center"/>
    </xf>
    <xf numFmtId="0" fontId="2" fillId="2" borderId="53" xfId="0" applyFont="1" applyFill="1" applyBorder="1" applyAlignment="1" applyProtection="1">
      <alignment horizontal="center"/>
    </xf>
    <xf numFmtId="0" fontId="2" fillId="2" borderId="54" xfId="0" applyFont="1" applyFill="1" applyBorder="1" applyAlignment="1" applyProtection="1">
      <alignment horizontal="center"/>
    </xf>
    <xf numFmtId="0" fontId="2" fillId="2" borderId="55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"/>
    </xf>
    <xf numFmtId="0" fontId="2" fillId="6" borderId="2" xfId="0" applyFont="1" applyFill="1" applyBorder="1" applyAlignment="1" applyProtection="1">
      <alignment horizontal="center"/>
    </xf>
    <xf numFmtId="0" fontId="2" fillId="6" borderId="3" xfId="0" applyFont="1" applyFill="1" applyBorder="1" applyAlignment="1" applyProtection="1">
      <alignment horizontal="center"/>
    </xf>
    <xf numFmtId="0" fontId="2" fillId="7" borderId="1" xfId="0" applyFont="1" applyFill="1" applyBorder="1" applyAlignment="1" applyProtection="1">
      <alignment horizontal="center"/>
    </xf>
    <xf numFmtId="0" fontId="2" fillId="7" borderId="2" xfId="0" applyFont="1" applyFill="1" applyBorder="1" applyAlignment="1" applyProtection="1">
      <alignment horizontal="center"/>
    </xf>
    <xf numFmtId="0" fontId="2" fillId="7" borderId="3" xfId="0" applyFont="1" applyFill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2" fillId="5" borderId="3" xfId="0" applyFont="1" applyFill="1" applyBorder="1" applyAlignment="1" applyProtection="1">
      <alignment horizontal="center"/>
    </xf>
    <xf numFmtId="0" fontId="2" fillId="8" borderId="12" xfId="0" applyFont="1" applyFill="1" applyBorder="1" applyAlignment="1" applyProtection="1">
      <alignment horizontal="center"/>
    </xf>
    <xf numFmtId="0" fontId="2" fillId="8" borderId="8" xfId="0" applyFont="1" applyFill="1" applyBorder="1" applyAlignment="1" applyProtection="1">
      <alignment horizontal="center"/>
    </xf>
    <xf numFmtId="0" fontId="2" fillId="2" borderId="56" xfId="0" applyFont="1" applyFill="1" applyBorder="1" applyAlignment="1" applyProtection="1">
      <alignment horizontal="right"/>
    </xf>
    <xf numFmtId="0" fontId="2" fillId="2" borderId="6" xfId="0" applyFont="1" applyFill="1" applyBorder="1" applyAlignment="1" applyProtection="1">
      <alignment horizontal="right"/>
    </xf>
    <xf numFmtId="49" fontId="0" fillId="0" borderId="6" xfId="0" applyNumberFormat="1" applyBorder="1" applyAlignment="1" applyProtection="1">
      <alignment horizontal="left"/>
      <protection locked="0"/>
    </xf>
    <xf numFmtId="49" fontId="0" fillId="0" borderId="67" xfId="0" applyNumberFormat="1" applyBorder="1" applyAlignment="1" applyProtection="1">
      <alignment horizontal="left"/>
      <protection locked="0"/>
    </xf>
    <xf numFmtId="0" fontId="2" fillId="2" borderId="58" xfId="0" applyFont="1" applyFill="1" applyBorder="1" applyAlignment="1" applyProtection="1">
      <alignment horizontal="right"/>
    </xf>
    <xf numFmtId="0" fontId="2" fillId="2" borderId="59" xfId="0" applyFont="1" applyFill="1" applyBorder="1" applyAlignment="1" applyProtection="1">
      <alignment horizontal="right"/>
    </xf>
    <xf numFmtId="49" fontId="0" fillId="0" borderId="59" xfId="0" applyNumberFormat="1" applyBorder="1" applyAlignment="1" applyProtection="1">
      <alignment horizontal="left"/>
      <protection locked="0"/>
    </xf>
    <xf numFmtId="49" fontId="0" fillId="0" borderId="68" xfId="0" applyNumberFormat="1" applyBorder="1" applyAlignment="1" applyProtection="1">
      <alignment horizontal="left"/>
      <protection locked="0"/>
    </xf>
    <xf numFmtId="0" fontId="2" fillId="12" borderId="1" xfId="0" applyFont="1" applyFill="1" applyBorder="1" applyAlignment="1" applyProtection="1">
      <alignment horizontal="center"/>
    </xf>
    <xf numFmtId="0" fontId="2" fillId="12" borderId="2" xfId="0" applyFont="1" applyFill="1" applyBorder="1" applyAlignment="1" applyProtection="1">
      <alignment horizontal="center"/>
    </xf>
    <xf numFmtId="0" fontId="2" fillId="12" borderId="3" xfId="0" applyFont="1" applyFill="1" applyBorder="1" applyAlignment="1" applyProtection="1">
      <alignment horizontal="center"/>
    </xf>
    <xf numFmtId="0" fontId="2" fillId="12" borderId="33" xfId="0" applyFont="1" applyFill="1" applyBorder="1" applyAlignment="1" applyProtection="1">
      <alignment horizontal="center" wrapText="1"/>
    </xf>
    <xf numFmtId="0" fontId="2" fillId="12" borderId="27" xfId="0" applyFont="1" applyFill="1" applyBorder="1" applyAlignment="1" applyProtection="1">
      <alignment horizontal="center" wrapText="1"/>
    </xf>
    <xf numFmtId="0" fontId="2" fillId="12" borderId="34" xfId="0" applyFont="1" applyFill="1" applyBorder="1" applyAlignment="1" applyProtection="1">
      <alignment horizontal="center" wrapText="1"/>
    </xf>
    <xf numFmtId="0" fontId="2" fillId="12" borderId="17" xfId="0" applyFont="1" applyFill="1" applyBorder="1" applyAlignment="1" applyProtection="1">
      <alignment horizontal="center"/>
    </xf>
    <xf numFmtId="0" fontId="2" fillId="12" borderId="18" xfId="0" applyFont="1" applyFill="1" applyBorder="1" applyAlignment="1" applyProtection="1">
      <alignment horizontal="center"/>
    </xf>
    <xf numFmtId="0" fontId="2" fillId="12" borderId="19" xfId="0" applyFont="1" applyFill="1" applyBorder="1" applyAlignment="1" applyProtection="1">
      <alignment horizontal="center"/>
    </xf>
    <xf numFmtId="0" fontId="2" fillId="2" borderId="115" xfId="0" applyFont="1" applyFill="1" applyBorder="1" applyAlignment="1" applyProtection="1">
      <alignment horizontal="right"/>
    </xf>
    <xf numFmtId="0" fontId="2" fillId="2" borderId="86" xfId="0" applyFont="1" applyFill="1" applyBorder="1" applyAlignment="1" applyProtection="1">
      <alignment horizontal="right"/>
    </xf>
    <xf numFmtId="49" fontId="0" fillId="0" borderId="65" xfId="0" applyNumberFormat="1" applyBorder="1" applyAlignment="1" applyProtection="1">
      <alignment horizontal="left"/>
      <protection locked="0"/>
    </xf>
    <xf numFmtId="49" fontId="0" fillId="0" borderId="66" xfId="0" applyNumberFormat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18" fillId="2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6" fillId="17" borderId="0" xfId="0" applyFont="1" applyFill="1" applyAlignment="1" applyProtection="1">
      <alignment horizontal="right" vertical="top"/>
    </xf>
    <xf numFmtId="0" fontId="0" fillId="17" borderId="0" xfId="0" applyFill="1" applyAlignment="1" applyProtection="1">
      <alignment horizontal="left" vertical="top" wrapText="1"/>
    </xf>
    <xf numFmtId="0" fontId="2" fillId="2" borderId="89" xfId="0" applyFont="1" applyFill="1" applyBorder="1" applyAlignment="1" applyProtection="1">
      <alignment horizontal="center" vertical="center"/>
    </xf>
    <xf numFmtId="0" fontId="2" fillId="2" borderId="9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0" fillId="0" borderId="74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0" borderId="111" xfId="0" applyBorder="1" applyAlignment="1" applyProtection="1">
      <alignment horizontal="center" vertical="center"/>
    </xf>
    <xf numFmtId="0" fontId="0" fillId="0" borderId="112" xfId="0" applyBorder="1" applyAlignment="1" applyProtection="1">
      <alignment horizontal="center" vertical="center"/>
    </xf>
    <xf numFmtId="0" fontId="0" fillId="0" borderId="101" xfId="0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2" fillId="0" borderId="0" xfId="0" applyFont="1" applyAlignment="1" applyProtection="1">
      <alignment horizontal="left"/>
    </xf>
    <xf numFmtId="0" fontId="0" fillId="0" borderId="50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86" xfId="0" applyBorder="1" applyAlignment="1" applyProtection="1">
      <alignment horizontal="left" vertical="center"/>
    </xf>
    <xf numFmtId="0" fontId="25" fillId="0" borderId="0" xfId="0" applyFont="1" applyAlignment="1" applyProtection="1">
      <alignment horizontal="right"/>
    </xf>
    <xf numFmtId="0" fontId="2" fillId="2" borderId="108" xfId="0" applyFont="1" applyFill="1" applyBorder="1" applyAlignment="1" applyProtection="1">
      <alignment horizontal="left" wrapText="1"/>
    </xf>
    <xf numFmtId="0" fontId="2" fillId="2" borderId="110" xfId="0" applyFont="1" applyFill="1" applyBorder="1" applyAlignment="1" applyProtection="1">
      <alignment horizontal="left" wrapText="1"/>
    </xf>
    <xf numFmtId="0" fontId="2" fillId="2" borderId="109" xfId="0" applyFont="1" applyFill="1" applyBorder="1" applyAlignment="1" applyProtection="1">
      <alignment horizontal="left" wrapText="1"/>
    </xf>
    <xf numFmtId="0" fontId="0" fillId="0" borderId="113" xfId="0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top" wrapText="1"/>
    </xf>
    <xf numFmtId="0" fontId="29" fillId="0" borderId="0" xfId="0" applyFont="1" applyAlignment="1" applyProtection="1">
      <alignment horizontal="left" vertical="top" wrapText="1"/>
    </xf>
    <xf numFmtId="0" fontId="0" fillId="0" borderId="105" xfId="0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right" indent="1"/>
    </xf>
    <xf numFmtId="0" fontId="32" fillId="0" borderId="0" xfId="0" applyFont="1" applyAlignment="1" applyProtection="1">
      <alignment horizontal="right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 wrapText="1"/>
    </xf>
    <xf numFmtId="0" fontId="12" fillId="0" borderId="0" xfId="1" applyFont="1" applyAlignment="1">
      <alignment horizontal="center" wrapText="1"/>
    </xf>
  </cellXfs>
  <cellStyles count="2">
    <cellStyle name="Standard" xfId="0" builtinId="0"/>
    <cellStyle name="Standard 2" xfId="1" xr:uid="{2264200A-04FA-48D5-8F0F-6C28DAED2598}"/>
  </cellStyles>
  <dxfs count="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8" formatCode="#,##0\ &quot;€&quot;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8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8" formatCode="#,##0\ &quot;€&quot;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8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8" formatCode="#,##0\ &quot;€&quot;"/>
    </dxf>
    <dxf>
      <numFmt numFmtId="0" formatCode="General"/>
    </dxf>
    <dxf>
      <numFmt numFmtId="168" formatCode="#,##0\ &quot;€&quot;"/>
    </dxf>
    <dxf>
      <numFmt numFmtId="168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numFmt numFmtId="0" formatCode="General"/>
    </dxf>
    <dxf>
      <numFmt numFmtId="168" formatCode="#,##0\ &quot;€&quot;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8" formatCode="#,##0\ &quot;€&quot;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8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8" formatCode="#,##0\ &quot;€&quot;"/>
    </dxf>
    <dxf>
      <numFmt numFmtId="164" formatCode="mmm\ [$-809]dd;@"/>
    </dxf>
    <dxf>
      <numFmt numFmtId="164" formatCode="mmm\ [$-809]dd;@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0" tint="-0.24994659260841701"/>
        </patternFill>
      </fill>
    </dxf>
    <dxf>
      <font>
        <color rgb="FF9C0006"/>
      </font>
      <fill>
        <patternFill>
          <fgColor rgb="FFFF7C80"/>
          <bgColor rgb="FFFFC7CE"/>
        </patternFill>
      </fill>
    </dxf>
    <dxf>
      <font>
        <strike val="0"/>
        <color rgb="FFC00000"/>
      </font>
      <fill>
        <patternFill patternType="solid">
          <fgColor auto="1"/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  <color rgb="FFC00000"/>
      </font>
      <fill>
        <patternFill patternType="darkUp"/>
      </fill>
    </dxf>
    <dxf>
      <font>
        <strike/>
        <color rgb="FFC00000"/>
      </font>
      <fill>
        <patternFill patternType="darkUp"/>
      </fill>
    </dxf>
    <dxf>
      <font>
        <color rgb="FF9C0006"/>
      </font>
      <fill>
        <patternFill patternType="lightUp">
          <bgColor theme="0" tint="-0.34998626667073579"/>
        </patternFill>
      </fill>
    </dxf>
    <dxf>
      <font>
        <color rgb="FF9C0006"/>
      </font>
      <fill>
        <patternFill patternType="lightUp">
          <bgColor theme="0" tint="-0.34998626667073579"/>
        </patternFill>
      </fill>
    </dxf>
    <dxf>
      <font>
        <b/>
        <i val="0"/>
        <strike val="0"/>
        <color rgb="FFFF0000"/>
      </font>
      <fill>
        <patternFill patternType="solid">
          <bgColor theme="0" tint="-0.34998626667073579"/>
        </patternFill>
      </fill>
    </dxf>
    <dxf>
      <font>
        <color rgb="FF9C0006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theme="0" tint="-0.24994659260841701"/>
        </patternFill>
      </fill>
    </dxf>
    <dxf>
      <fill>
        <patternFill patternType="gray125">
          <bgColor theme="0" tint="-0.14996795556505021"/>
        </patternFill>
      </fill>
    </dxf>
    <dxf>
      <font>
        <strike val="0"/>
      </font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ont>
        <strike val="0"/>
        <color theme="1"/>
      </font>
    </dxf>
    <dxf>
      <font>
        <strike val="0"/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  <color theme="0" tint="-0.499984740745262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7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57822</xdr:colOff>
      <xdr:row>1</xdr:row>
      <xdr:rowOff>77768</xdr:rowOff>
    </xdr:from>
    <xdr:to>
      <xdr:col>1</xdr:col>
      <xdr:colOff>670672</xdr:colOff>
      <xdr:row>3</xdr:row>
      <xdr:rowOff>170329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E7696B1-B2CA-4228-BB60-85F14F817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22" y="257062"/>
          <a:ext cx="1401744" cy="451149"/>
        </a:xfrm>
        <a:prstGeom prst="rect">
          <a:avLst/>
        </a:prstGeom>
      </xdr:spPr>
    </xdr:pic>
    <xdr:clientData/>
  </xdr:twoCellAnchor>
  <xdr:twoCellAnchor editAs="oneCell">
    <xdr:from>
      <xdr:col>1</xdr:col>
      <xdr:colOff>784412</xdr:colOff>
      <xdr:row>0</xdr:row>
      <xdr:rowOff>175486</xdr:rowOff>
    </xdr:from>
    <xdr:to>
      <xdr:col>3</xdr:col>
      <xdr:colOff>26894</xdr:colOff>
      <xdr:row>3</xdr:row>
      <xdr:rowOff>130188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2653B78-8F50-414A-B72B-1FE1D1C02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3306" y="175486"/>
          <a:ext cx="820270" cy="492584"/>
        </a:xfrm>
        <a:prstGeom prst="rect">
          <a:avLst/>
        </a:prstGeom>
      </xdr:spPr>
    </xdr:pic>
    <xdr:clientData/>
  </xdr:twoCellAnchor>
  <xdr:twoCellAnchor editAs="oneCell">
    <xdr:from>
      <xdr:col>3</xdr:col>
      <xdr:colOff>110940</xdr:colOff>
      <xdr:row>0</xdr:row>
      <xdr:rowOff>169066</xdr:rowOff>
    </xdr:from>
    <xdr:to>
      <xdr:col>4</xdr:col>
      <xdr:colOff>367554</xdr:colOff>
      <xdr:row>3</xdr:row>
      <xdr:rowOff>146610</xdr:rowOff>
    </xdr:to>
    <xdr:pic>
      <xdr:nvPicPr>
        <xdr:cNvPr id="4" name="Bild 1" descr="https://upload.wikimedia.org/wikipedia/commons/8/81/EJU_Logo_white.png">
          <a:extLst>
            <a:ext uri="{FF2B5EF4-FFF2-40B4-BE49-F238E27FC236}">
              <a16:creationId xmlns:a16="http://schemas.microsoft.com/office/drawing/2014/main" id="{2560FF18-F913-4942-BAD5-E8384472F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7622" y="169066"/>
          <a:ext cx="803461" cy="5154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484481</xdr:colOff>
      <xdr:row>0</xdr:row>
      <xdr:rowOff>151503</xdr:rowOff>
    </xdr:from>
    <xdr:to>
      <xdr:col>5</xdr:col>
      <xdr:colOff>582706</xdr:colOff>
      <xdr:row>3</xdr:row>
      <xdr:rowOff>157081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5310C42-E015-4B49-9E9B-02D657D5E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8010" y="151503"/>
          <a:ext cx="887120" cy="543460"/>
        </a:xfrm>
        <a:prstGeom prst="rect">
          <a:avLst/>
        </a:prstGeom>
      </xdr:spPr>
    </xdr:pic>
    <xdr:clientData/>
  </xdr:twoCellAnchor>
  <xdr:twoCellAnchor editAs="oneCell">
    <xdr:from>
      <xdr:col>5</xdr:col>
      <xdr:colOff>667643</xdr:colOff>
      <xdr:row>1</xdr:row>
      <xdr:rowOff>12909</xdr:rowOff>
    </xdr:from>
    <xdr:to>
      <xdr:col>6</xdr:col>
      <xdr:colOff>645459</xdr:colOff>
      <xdr:row>3</xdr:row>
      <xdr:rowOff>158973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E96163AA-6EBE-45F1-A83F-4542C499E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0067" y="192203"/>
          <a:ext cx="766710" cy="504652"/>
        </a:xfrm>
        <a:prstGeom prst="rect">
          <a:avLst/>
        </a:prstGeom>
      </xdr:spPr>
    </xdr:pic>
    <xdr:clientData/>
  </xdr:twoCellAnchor>
  <xdr:twoCellAnchor editAs="oneCell">
    <xdr:from>
      <xdr:col>6</xdr:col>
      <xdr:colOff>787936</xdr:colOff>
      <xdr:row>0</xdr:row>
      <xdr:rowOff>126850</xdr:rowOff>
    </xdr:from>
    <xdr:to>
      <xdr:col>7</xdr:col>
      <xdr:colOff>695493</xdr:colOff>
      <xdr:row>4</xdr:row>
      <xdr:rowOff>35860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AE2A8643-1F41-4BF0-B04C-8F81C7034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9254" y="126850"/>
          <a:ext cx="696451" cy="6261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57822</xdr:colOff>
      <xdr:row>1</xdr:row>
      <xdr:rowOff>77768</xdr:rowOff>
    </xdr:from>
    <xdr:to>
      <xdr:col>1</xdr:col>
      <xdr:colOff>670672</xdr:colOff>
      <xdr:row>3</xdr:row>
      <xdr:rowOff>170329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D8B6FE5-9448-4E38-9FCA-7CC058178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22" y="260648"/>
          <a:ext cx="1405330" cy="458321"/>
        </a:xfrm>
        <a:prstGeom prst="rect">
          <a:avLst/>
        </a:prstGeom>
      </xdr:spPr>
    </xdr:pic>
    <xdr:clientData/>
  </xdr:twoCellAnchor>
  <xdr:twoCellAnchor editAs="oneCell">
    <xdr:from>
      <xdr:col>1</xdr:col>
      <xdr:colOff>784412</xdr:colOff>
      <xdr:row>0</xdr:row>
      <xdr:rowOff>175486</xdr:rowOff>
    </xdr:from>
    <xdr:to>
      <xdr:col>3</xdr:col>
      <xdr:colOff>26894</xdr:colOff>
      <xdr:row>3</xdr:row>
      <xdr:rowOff>130188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A19E001-3B3B-4AEC-A496-30066DC80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892" y="175486"/>
          <a:ext cx="827442" cy="503342"/>
        </a:xfrm>
        <a:prstGeom prst="rect">
          <a:avLst/>
        </a:prstGeom>
      </xdr:spPr>
    </xdr:pic>
    <xdr:clientData/>
  </xdr:twoCellAnchor>
  <xdr:twoCellAnchor editAs="oneCell">
    <xdr:from>
      <xdr:col>3</xdr:col>
      <xdr:colOff>110940</xdr:colOff>
      <xdr:row>0</xdr:row>
      <xdr:rowOff>169066</xdr:rowOff>
    </xdr:from>
    <xdr:to>
      <xdr:col>4</xdr:col>
      <xdr:colOff>367554</xdr:colOff>
      <xdr:row>3</xdr:row>
      <xdr:rowOff>146610</xdr:rowOff>
    </xdr:to>
    <xdr:pic>
      <xdr:nvPicPr>
        <xdr:cNvPr id="4" name="Bild 1" descr="https://upload.wikimedia.org/wikipedia/commons/8/81/EJU_Logo_white.png">
          <a:extLst>
            <a:ext uri="{FF2B5EF4-FFF2-40B4-BE49-F238E27FC236}">
              <a16:creationId xmlns:a16="http://schemas.microsoft.com/office/drawing/2014/main" id="{6AD982AE-4ED4-4AB0-A860-5A98286B0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8380" y="169066"/>
          <a:ext cx="805254" cy="52618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484481</xdr:colOff>
      <xdr:row>0</xdr:row>
      <xdr:rowOff>151503</xdr:rowOff>
    </xdr:from>
    <xdr:to>
      <xdr:col>5</xdr:col>
      <xdr:colOff>582706</xdr:colOff>
      <xdr:row>3</xdr:row>
      <xdr:rowOff>157081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49672CC-B14E-4A7D-B1F7-573591197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0561" y="151503"/>
          <a:ext cx="890705" cy="554218"/>
        </a:xfrm>
        <a:prstGeom prst="rect">
          <a:avLst/>
        </a:prstGeom>
      </xdr:spPr>
    </xdr:pic>
    <xdr:clientData/>
  </xdr:twoCellAnchor>
  <xdr:twoCellAnchor editAs="oneCell">
    <xdr:from>
      <xdr:col>5</xdr:col>
      <xdr:colOff>667643</xdr:colOff>
      <xdr:row>1</xdr:row>
      <xdr:rowOff>12909</xdr:rowOff>
    </xdr:from>
    <xdr:to>
      <xdr:col>6</xdr:col>
      <xdr:colOff>645459</xdr:colOff>
      <xdr:row>3</xdr:row>
      <xdr:rowOff>158973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BEDE63C5-0F75-4220-8B7A-AEE98F818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6203" y="195789"/>
          <a:ext cx="770296" cy="511824"/>
        </a:xfrm>
        <a:prstGeom prst="rect">
          <a:avLst/>
        </a:prstGeom>
      </xdr:spPr>
    </xdr:pic>
    <xdr:clientData/>
  </xdr:twoCellAnchor>
  <xdr:twoCellAnchor editAs="oneCell">
    <xdr:from>
      <xdr:col>6</xdr:col>
      <xdr:colOff>787936</xdr:colOff>
      <xdr:row>0</xdr:row>
      <xdr:rowOff>126850</xdr:rowOff>
    </xdr:from>
    <xdr:to>
      <xdr:col>7</xdr:col>
      <xdr:colOff>695493</xdr:colOff>
      <xdr:row>4</xdr:row>
      <xdr:rowOff>35860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C5DF12FF-A2A8-497E-8CAC-5A8BC23BD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8976" y="126850"/>
          <a:ext cx="700037" cy="6405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nis/Desktop/Judo/Interreg/Aktionen/2019.09.29%20EOpen2019%20LUX/other%20departments/Accreditation/bearbeiten/Meldeformular%20Saarbr&#252;cken%202018%20final%20TESTS%20-%20db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ata Entry Form"/>
      <sheetName val="Check your reservation"/>
      <sheetName val="Coaches and Officials"/>
      <sheetName val="Women"/>
      <sheetName val="Men"/>
      <sheetName val="Visa Application"/>
      <sheetName val="Kontrolle"/>
      <sheetName val="Check In Liste"/>
      <sheetName val="Voucher"/>
      <sheetName val="Rechnung"/>
      <sheetName val="Rechnung EJU Entry Fee"/>
      <sheetName val="Feder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7F904C9-1DAD-45BE-99F9-BE39DE113F7F}" name="tblWeightOrFunction" displayName="tblWeightOrFunction" ref="A2:G26" totalsRowShown="0" headerRowDxfId="31">
  <autoFilter ref="A2:G26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30CDC34-1CC4-4D2D-A69A-ACDBC0E511AE}" name="Category" dataDxfId="30">
      <calculatedColumnFormula>tblWeightOrFunction[[#This Row],[SubType1]]&amp;", "&amp;tblWeightOrFunction[[#This Row],[Gender]]</calculatedColumnFormula>
    </tableColumn>
    <tableColumn id="7" xr3:uid="{75944A7C-3306-4BC2-A70D-E0189E648DD2}" name="Gender"/>
    <tableColumn id="2" xr3:uid="{2FA6849C-CAED-423C-ADA0-30890554881D}" name="Type"/>
    <tableColumn id="3" xr3:uid="{0AD7F8F0-A47C-43D3-B05B-73243A0B40A9}" name="SubType1"/>
    <tableColumn id="4" xr3:uid="{44ED72B8-1A3F-415F-8C1D-D1162980D9DD}" name="SubType2"/>
    <tableColumn id="5" xr3:uid="{4CDB18EB-3BD1-41A7-B8AD-405EF0C2C6E7}" name="Position" dataDxfId="29">
      <calculatedColumnFormula>tblWeightOrFunction[[#This Row],[SubType2]]</calculatedColumnFormula>
    </tableColumn>
    <tableColumn id="6" xr3:uid="{AE375F53-F4E7-4E15-A165-E5677373BDCB}" name="SortOrder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D1C20D4C-597B-4FE0-B616-BF8E79DEEAAF}" name="tblLocomotionTypes" displayName="tblLocomotionTypes" ref="U2:U4" totalsRowShown="0">
  <autoFilter ref="U2:U4" xr:uid="{00000000-0009-0000-0100-00000D000000}">
    <filterColumn colId="0" hiddenButton="1"/>
  </autoFilter>
  <tableColumns count="1">
    <tableColumn id="1" xr3:uid="{C946AE03-0247-497B-8814-F86BDACF61A7}" name="LocomotionType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AE19E197-875E-41FD-A5E8-9772B41C63ED}" name="tblRoomAndLodgings" displayName="tblRoomAndLodgings" ref="AG2:AI14" totalsRowShown="0">
  <autoFilter ref="AG2:AI14" xr:uid="{00000000-0009-0000-0100-00000E000000}">
    <filterColumn colId="0" hiddenButton="1"/>
    <filterColumn colId="1" hiddenButton="1"/>
    <filterColumn colId="2" hiddenButton="1"/>
  </autoFilter>
  <tableColumns count="3">
    <tableColumn id="1" xr3:uid="{F5080F55-409D-43C9-A41D-3935609800FF}" name="Code" dataDxfId="17">
      <calculatedColumnFormula>tblRoomAndLodgings[[#This Row],[Room]]&amp;" / "&amp;tblRoomAndLodgings[[#This Row],[Lodging]]</calculatedColumnFormula>
    </tableColumn>
    <tableColumn id="2" xr3:uid="{2A085AF5-1477-4E6D-9D35-37AEEB8CB25C}" name="Lodging"/>
    <tableColumn id="3" xr3:uid="{CD5FC47D-2D54-4BBF-BD83-28BACC87515A}" name="Room"/>
  </tableColumns>
  <tableStyleInfo name="TableStyleMedium7" showFirstColumn="0" showLastColumn="0" showRowStripes="1" showColumnStripes="0"/>
  <extLst>
    <ext xmlns:x14="http://schemas.microsoft.com/office/spreadsheetml/2009/9/main" uri="{504A1905-F514-4f6f-8877-14C23A59335A}">
      <x14:table altText="Hermann_Neuberger_Sportschule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1597626A-561C-4873-99F7-C3E8C9DC0749}" name="tblGender" displayName="tblGender" ref="I2:I4" totalsRowShown="0" headerRowDxfId="16">
  <autoFilter ref="I2:I4" xr:uid="{00000000-0009-0000-0100-000002000000}">
    <filterColumn colId="0" hiddenButton="1"/>
  </autoFilter>
  <tableColumns count="1">
    <tableColumn id="1" xr3:uid="{4D52A37D-87AE-40C3-B4CE-2B13FE09D757}" name="Gender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96B4B5A-4689-408C-B460-2EC62E80D5C7}" name="tblContinent" displayName="tblContinent" ref="AQ2:AQ8" totalsRowShown="0">
  <autoFilter ref="AQ2:AQ8" xr:uid="{00000000-0009-0000-0100-000020000000}"/>
  <tableColumns count="1">
    <tableColumn id="1" xr3:uid="{6F51B005-6820-472E-9F7F-8C4146BD31E1}" name="Continent" dataDxfId="15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501C9E26-3310-4FF5-ADC3-37C6192D3300}" name="tblHotels" displayName="tblHotels" ref="U10:U15" totalsRowShown="0">
  <autoFilter ref="U10:U15" xr:uid="{37665910-1C16-4ADC-A650-E49B7B1FA96B}"/>
  <tableColumns count="1">
    <tableColumn id="1" xr3:uid="{8308C7B2-A3E2-4930-9284-E4B9870D5283}" name="Hotels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97EB0C01-5F15-469A-AE7C-88C6B0472B66}" name="tblRoomPricesTC" displayName="tblRoomPricesTC" ref="W23:Z31" totalsRowShown="0">
  <autoFilter ref="W23:Z31" xr:uid="{026AB4B0-F758-4172-9329-1D1C45E074AD}"/>
  <tableColumns count="4">
    <tableColumn id="1" xr3:uid="{9E9AB7F2-BF4A-46A8-9550-6A40B09C742A}" name="Code">
      <calculatedColumnFormula>tblRoomPricesTC[[#This Row],[Hotel]]&amp;", "&amp;tblRoomPricesTC[[#This Row],[Size]]</calculatedColumnFormula>
    </tableColumn>
    <tableColumn id="2" xr3:uid="{148606E5-347D-46CB-94DB-0A9B88C2C829}" name="Hotel"/>
    <tableColumn id="3" xr3:uid="{EC41FF47-E90F-4B80-BF66-5628A57D2392}" name="Size"/>
    <tableColumn id="4" xr3:uid="{13EBB691-D47B-47F2-B499-A198F473D892}" name="Price" dataDxfId="14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C3AC1F83-BBD6-424F-A1A2-4BC8ACD45637}" name="tblRoomPricesSunday" displayName="tblRoomPricesSunday" ref="W36:Z48" totalsRowShown="0">
  <autoFilter ref="W36:Z48" xr:uid="{51D57892-B195-4AD4-96BF-6E4C4E6753B8}"/>
  <tableColumns count="4">
    <tableColumn id="1" xr3:uid="{81CFB1F6-1102-44B5-B4E4-EC4B95A1D43C}" name="Code" dataDxfId="13">
      <calculatedColumnFormula>tblRoomPricesSunday[[#This Row],[Hotel]]&amp;", "&amp;tblRoomPricesSunday[[#This Row],[Size]]</calculatedColumnFormula>
    </tableColumn>
    <tableColumn id="2" xr3:uid="{A6AB64BC-1C41-4527-BC08-B5F8D1B2AE39}" name="Hotel"/>
    <tableColumn id="3" xr3:uid="{5AB114E4-9AB7-4AAB-ACE6-95E6BE02517C}" name="Size"/>
    <tableColumn id="4" xr3:uid="{C2AA9E8A-A340-4C8B-9081-80351EA4E603}" name="Price" dataDxfId="12"/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BCCDAD46-F575-4678-8C26-9DE31157499D}" name="tblHotelsEJO" displayName="tblHotelsEJO" ref="U18:U21" totalsRowShown="0">
  <autoFilter ref="U18:U21" xr:uid="{CCB2CCB2-034A-40BA-8998-D129D668F0C7}"/>
  <tableColumns count="1">
    <tableColumn id="1" xr3:uid="{274EBCE8-C8DC-4FF3-A5F5-2B9C0E4BA504}" name="HotelsEJO"/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838A9AD-FFE5-44C6-AE81-C72451C63ADD}" name="tblHotelsTC" displayName="tblHotelsTC" ref="U26:U29" totalsRowShown="0">
  <autoFilter ref="U26:U29" xr:uid="{460E3818-FE4B-4143-8486-E38CB0A1E3C3}"/>
  <tableColumns count="1">
    <tableColumn id="1" xr3:uid="{905AE1C0-253C-4B05-A967-7FDFD891E9BE}" name="HotelsTC"/>
  </tableColumns>
  <tableStyleInfo name="TableStyleMedium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D2DD49D0-15B1-4F2A-ACCF-E29B714A0428}" name="tblRoomTypes" displayName="tblRoomTypes" ref="S8:S12" totalsRowShown="0">
  <autoFilter ref="S8:S12" xr:uid="{D02FD877-AD14-43C1-A815-14A8E1CE55E9}"/>
  <tableColumns count="1">
    <tableColumn id="1" xr3:uid="{1347ADA2-BD41-4F39-AE37-968586480763}" name="RoomTypes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DA2921D-21C5-47C3-A370-15E8EBD56556}" name="tblTrainingCamp" displayName="tblTrainingCamp" ref="K2:K4" totalsRowShown="0">
  <autoFilter ref="K2:K4" xr:uid="{00000000-0009-0000-0100-000003000000}">
    <filterColumn colId="0" hiddenButton="1"/>
  </autoFilter>
  <tableColumns count="1">
    <tableColumn id="1" xr3:uid="{59BB3081-79AF-4782-B5AA-ABAF3D765291}" name="TrainingCamp"/>
  </tableColumns>
  <tableStyleInfo name="TableStyleMedium9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9249602-87B8-40D0-919A-2796D028692E}" name="tblMealTypesEJO" displayName="tblMealTypesEJO" ref="S15:S19" totalsRowShown="0">
  <autoFilter ref="S15:S19" xr:uid="{9CE4AB7B-F540-4855-9F64-5A09F3545281}"/>
  <tableColumns count="1">
    <tableColumn id="1" xr3:uid="{4F258516-80C2-4BDA-8B4C-B5746EAD3FC5}" name="MealTypesEJO"/>
  </tableColumns>
  <tableStyleInfo name="TableStyleMedium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6B33115-FA09-4846-8D7B-4ECAB1DFA1F7}" name="tblMealTypesTC" displayName="tblMealTypesTC" ref="S22:S24" totalsRowShown="0">
  <autoFilter ref="S22:S24" xr:uid="{A2DB19A9-34A2-479B-BA63-0C81F926F5D7}"/>
  <tableColumns count="1">
    <tableColumn id="1" xr3:uid="{54BA8E1B-D5B9-4DEA-8955-75AE4FAD2D8E}" name="MealTypesTC"/>
  </tableColumns>
  <tableStyleInfo name="TableStyleMedium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B84379-E1FE-4F46-A296-6F7075983064}" name="tblMealPricesSunday" displayName="tblMealPricesSunday" ref="AB23:AE39">
  <autoFilter ref="AB23:AE39" xr:uid="{1444929F-BEE0-487F-AC15-F622055D0E91}"/>
  <tableColumns count="4">
    <tableColumn id="1" xr3:uid="{9C5F9FAA-6A15-45C1-81E3-97B0A6D582A2}" name="Code" totalsRowDxfId="11">
      <calculatedColumnFormula>tblMealPricesSunday[[#This Row],[Hotel]]&amp;", "&amp;tblMealPricesSunday[[#This Row],[Meal]]</calculatedColumnFormula>
    </tableColumn>
    <tableColumn id="3" xr3:uid="{F8ACC230-BB59-419F-ABFF-0098380A2A58}" name="Hotel" totalsRowFunction="custom" dataDxfId="10" totalsRowDxfId="9" dataCellStyle="Standard 2">
      <calculatedColumnFormula>X26</calculatedColumnFormula>
      <totalsRowFormula>$U$11</totalsRowFormula>
    </tableColumn>
    <tableColumn id="4" xr3:uid="{54871301-B9CE-4F2A-8CC4-C60E428ABE0F}" name="Meal" totalsRowLabel="BB" totalsRowDxfId="8" dataCellStyle="Standard 2"/>
    <tableColumn id="2" xr3:uid="{91E47BDD-7B70-49B7-838A-C1BB2BB8F9AE}" name="Price" dataDxfId="7" totalsRowDxfId="6"/>
  </tableColumns>
  <tableStyleInfo name="TableStyleMedium7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10FC31B-4910-417D-A496-2CD634F622A8}" name="tblMealPricesEJUTC" displayName="tblMealPricesEJUTC" ref="AB43:AE49">
  <autoFilter ref="AB43:AE49" xr:uid="{87FB859A-ED03-4CE7-AE37-3FB352D4A4A3}"/>
  <tableColumns count="4">
    <tableColumn id="1" xr3:uid="{BD5805D7-E4F3-4D62-9015-B48F3E4E7A90}" name="Code" totalsRowDxfId="5">
      <calculatedColumnFormula>tblMealPricesEJUTC[[#This Row],[Hotel]]&amp;", "&amp;tblMealPricesEJUTC[[#This Row],[Meal]]</calculatedColumnFormula>
    </tableColumn>
    <tableColumn id="3" xr3:uid="{7C22DB9E-0531-4593-B577-D754EFD9C85C}" name="Hotel" totalsRowFunction="custom" dataDxfId="4" totalsRowDxfId="3" dataCellStyle="Standard 2">
      <calculatedColumnFormula>X46</calculatedColumnFormula>
      <totalsRowFormula>$U$11</totalsRowFormula>
    </tableColumn>
    <tableColumn id="4" xr3:uid="{DF2E0C04-2750-4A3D-96FC-296043F23677}" name="Meal" totalsRowLabel="BB" totalsRowDxfId="2" dataCellStyle="Standard 2"/>
    <tableColumn id="2" xr3:uid="{8AAB7622-C309-4117-B699-CA4845B10BF6}" name="Price" dataDxfId="1" totalsRowDxfId="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C1D7C3A-ED12-4125-9896-4331692F29F8}" name="tblArrivalDates" displayName="tblArrivalDates" ref="M2:M7" totalsRowShown="0">
  <autoFilter ref="M2:M7" xr:uid="{00000000-0009-0000-0100-000004000000}">
    <filterColumn colId="0" hiddenButton="1"/>
  </autoFilter>
  <tableColumns count="1">
    <tableColumn id="1" xr3:uid="{502D33B1-3C9F-4BB2-9334-1ABE8454B22E}" name="ArrivalDate" dataDxfId="28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604ABD7-BF19-439F-91F2-03D21DA35AD5}" name="tblDepartureDates" displayName="tblDepartureDates" ref="O2:O7" totalsRowShown="0">
  <autoFilter ref="O2:O7" xr:uid="{00000000-0009-0000-0100-000005000000}">
    <filterColumn colId="0" hiddenButton="1"/>
  </autoFilter>
  <tableColumns count="1">
    <tableColumn id="1" xr3:uid="{E88DFE3B-49D2-4E85-98F7-48680395F297}" name="DepartureDate" dataDxfId="27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F98C098-3D03-4C88-8CE8-B0E07A7136C9}" name="tblTravelLocations" displayName="tblTravelLocations" ref="Q2:Q3" totalsRowShown="0">
  <autoFilter ref="Q2:Q3" xr:uid="{00000000-0009-0000-0100-000006000000}">
    <filterColumn colId="0" hiddenButton="1"/>
  </autoFilter>
  <tableColumns count="1">
    <tableColumn id="1" xr3:uid="{3EAB2DA4-3A0E-4140-9CAA-62558E6857C4}" name="TravelLocation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5EFB6F0-DC6C-467B-907A-8E7D60869BA0}" name="tblTransferLocations" displayName="tblTransferLocations" ref="S2:S4" totalsRowShown="0">
  <autoFilter ref="S2:S4" xr:uid="{00000000-0009-0000-0100-000007000000}">
    <filterColumn colId="0" hiddenButton="1"/>
  </autoFilter>
  <tableColumns count="1">
    <tableColumn id="1" xr3:uid="{96951317-E5AF-48FC-A4B9-191881FCCFA9}" name="TransferLocation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E8854510-A223-4F6D-A5D8-6A421CBB360B}" name="tblRoomPricesEJO" displayName="tblRoomPricesEJO" ref="W2:Z9" totalsRowShown="0">
  <autoFilter ref="W2:Z9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FF35C943-116D-473D-AA4A-70DE0AAE1689}" name="Code">
      <calculatedColumnFormula>tblRoomPricesEJO[[#This Row],[Hotel]]&amp;", "&amp;tblRoomPricesEJO[[#This Row],[Size]]</calculatedColumnFormula>
    </tableColumn>
    <tableColumn id="2" xr3:uid="{4F11EBA9-685C-4EB7-B640-2467861987E7}" name="Hotel"/>
    <tableColumn id="3" xr3:uid="{6F855F39-9CBE-4D07-A966-747FAC9C8077}" name="Size"/>
    <tableColumn id="4" xr3:uid="{5A45FF79-17D4-4959-A609-B1BEDE8D58DA}" name="Price" dataDxfId="26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1D157729-95BD-4145-87FC-F3E79ED61D5E}" name="tblMealPricesEJO" displayName="tblMealPricesEJO" ref="AB2:AE14">
  <autoFilter ref="AB2:AE14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6EDE4958-B56A-4195-98C3-DD9FFD57E988}" name="Code" totalsRowDxfId="25">
      <calculatedColumnFormula>tblMealPricesEJO[[#This Row],[Hotel]]&amp;", "&amp;tblMealPricesEJO[[#This Row],[Meal]]</calculatedColumnFormula>
    </tableColumn>
    <tableColumn id="3" xr3:uid="{735DF1B0-EDD9-4F1E-B7EB-C8F38C0B0871}" name="Hotel" totalsRowFunction="custom" dataDxfId="24" totalsRowDxfId="23" dataCellStyle="Standard 2">
      <calculatedColumnFormula>X5</calculatedColumnFormula>
      <totalsRowFormula>$U$11</totalsRowFormula>
    </tableColumn>
    <tableColumn id="4" xr3:uid="{248AE629-E8B0-43D7-AFBB-0FB9E91D8256}" name="Meal" totalsRowLabel="BB" totalsRowDxfId="22" dataCellStyle="Standard 2"/>
    <tableColumn id="2" xr3:uid="{5D95BE87-7730-4EE9-9BF8-849E1AE6F170}" name="Price" dataDxfId="21" totalsRowDxfId="20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F16AA369-1B38-4575-A655-8759098ACADB}" name="tblAccommodationCosts" displayName="tblAccommodationCosts" ref="AK2:AO40" totalsRowShown="0">
  <autoFilter ref="AK2:AO40" xr:uid="{00000000-0009-0000-0100-00000C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1D13918-8347-49FF-8FC7-94916EFF174D}" name="Code" dataDxfId="19">
      <calculatedColumnFormula>tblAccommodationCosts[[#This Row],[Hotel]]&amp;", "&amp;tblAccommodationCosts[[#This Row],[Size]]&amp;" / "&amp;tblAccommodationCosts[[#This Row],[Lodging]]</calculatedColumnFormula>
    </tableColumn>
    <tableColumn id="2" xr3:uid="{4739A06F-F225-43CA-94C8-A42DDCD1D1AC}" name="Hotel"/>
    <tableColumn id="4" xr3:uid="{6EAECB87-0C42-4E28-8295-E7CA46875F17}" name="Size"/>
    <tableColumn id="3" xr3:uid="{B9BAAD55-DA8D-42D6-BA2E-9FD555680953}" name="Lodging"/>
    <tableColumn id="5" xr3:uid="{70E7688A-8A4B-47A8-BEA3-F79F473E0940}" name="Price" dataDxfId="18">
      <calculatedColumnFormula>VLOOKUP(tblAccommodationCosts[[#This Row],[Hotel]]&amp;", "&amp;tblAccommodationCosts[[#This Row],[Size]],tblRoomPricesEJO[],4,FALSE)+VLOOKUP(tblAccommodationCosts[[#This Row],[Hotel]]&amp;", "&amp;tblAccommodationCosts[[#This Row],[Lodging]],tblMealPricesEJO[],4,FALSE)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E4556-15EA-447B-84A4-E61E789B1A97}">
  <dimension ref="A1:BX49"/>
  <sheetViews>
    <sheetView tabSelected="1" topLeftCell="A2" zoomScale="85" zoomScaleNormal="85" workbookViewId="0">
      <pane xSplit="5" topLeftCell="F1" activePane="topRight" state="frozen"/>
      <selection pane="topRight" activeCell="AM8" sqref="AM1:BX1048576"/>
    </sheetView>
  </sheetViews>
  <sheetFormatPr baseColWidth="10" defaultRowHeight="14.4"/>
  <cols>
    <col min="2" max="2" width="21.33203125" customWidth="1"/>
    <col min="3" max="3" width="14.5546875" customWidth="1"/>
    <col min="4" max="4" width="26.6640625" customWidth="1"/>
    <col min="5" max="5" width="12.44140625" bestFit="1" customWidth="1"/>
    <col min="11" max="11" width="11.6640625" bestFit="1" customWidth="1"/>
    <col min="14" max="14" width="13.44140625" bestFit="1" customWidth="1"/>
    <col min="15" max="15" width="16.5546875" customWidth="1"/>
    <col min="16" max="16" width="19.6640625" bestFit="1" customWidth="1"/>
    <col min="20" max="20" width="13.44140625" bestFit="1" customWidth="1"/>
    <col min="21" max="21" width="17.6640625" bestFit="1" customWidth="1"/>
    <col min="22" max="22" width="15.5546875" customWidth="1"/>
    <col min="23" max="23" width="11.77734375" customWidth="1"/>
    <col min="24" max="24" width="14.109375" customWidth="1"/>
    <col min="25" max="25" width="13.33203125" customWidth="1"/>
    <col min="26" max="37" width="15.5546875" customWidth="1"/>
    <col min="38" max="38" width="13.5546875" style="27" customWidth="1"/>
    <col min="39" max="39" width="10.44140625" style="27" hidden="1" customWidth="1"/>
    <col min="40" max="40" width="8.44140625" style="27" hidden="1" customWidth="1"/>
    <col min="41" max="41" width="9" style="27" hidden="1" customWidth="1"/>
    <col min="42" max="42" width="8" style="27" hidden="1" customWidth="1"/>
    <col min="43" max="43" width="7.33203125" style="27" hidden="1" customWidth="1"/>
    <col min="44" max="62" width="11.5546875" style="27" hidden="1" customWidth="1"/>
    <col min="63" max="65" width="13.5546875" style="27" hidden="1" customWidth="1"/>
    <col min="66" max="66" width="12.5546875" style="27" hidden="1" customWidth="1"/>
    <col min="67" max="69" width="11.5546875" style="27" hidden="1" customWidth="1"/>
    <col min="70" max="76" width="13.33203125" style="27" hidden="1" customWidth="1"/>
  </cols>
  <sheetData>
    <row r="1" spans="1:3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</row>
    <row r="2" spans="1:37" ht="15" thickBo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</row>
    <row r="3" spans="1:37" ht="16.2" thickBot="1">
      <c r="A3" s="47"/>
      <c r="B3" s="48" t="s">
        <v>149</v>
      </c>
      <c r="C3" s="218"/>
      <c r="D3" s="219"/>
      <c r="E3" s="30"/>
      <c r="F3" s="213" t="s">
        <v>123</v>
      </c>
      <c r="G3" s="214"/>
      <c r="H3" s="215"/>
      <c r="I3" s="30"/>
      <c r="J3" s="213" t="s">
        <v>124</v>
      </c>
      <c r="K3" s="214"/>
      <c r="L3" s="215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</row>
    <row r="4" spans="1:37" ht="15.6">
      <c r="A4" s="199" t="s">
        <v>147</v>
      </c>
      <c r="B4" s="200"/>
      <c r="C4" s="201"/>
      <c r="D4" s="202"/>
      <c r="E4" s="30"/>
      <c r="F4" s="184" t="s">
        <v>90</v>
      </c>
      <c r="G4" s="185"/>
      <c r="H4" s="220"/>
      <c r="I4" s="30"/>
      <c r="J4" s="184" t="s">
        <v>93</v>
      </c>
      <c r="K4" s="185"/>
      <c r="L4" s="22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</row>
    <row r="5" spans="1:37" ht="15.6">
      <c r="A5" s="49"/>
      <c r="B5" s="50" t="s">
        <v>151</v>
      </c>
      <c r="C5" s="201"/>
      <c r="D5" s="202"/>
      <c r="E5" s="30"/>
      <c r="F5" s="31" t="s">
        <v>60</v>
      </c>
      <c r="G5" s="32" t="s">
        <v>63</v>
      </c>
      <c r="H5" s="33" t="s">
        <v>71</v>
      </c>
      <c r="I5" s="30"/>
      <c r="J5" s="31" t="s">
        <v>60</v>
      </c>
      <c r="K5" s="32" t="s">
        <v>63</v>
      </c>
      <c r="L5" s="33" t="s">
        <v>71</v>
      </c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</row>
    <row r="6" spans="1:37" ht="15" customHeight="1" thickBot="1">
      <c r="A6" s="216" t="s">
        <v>150</v>
      </c>
      <c r="B6" s="217"/>
      <c r="C6" s="201"/>
      <c r="D6" s="202"/>
      <c r="E6" s="30"/>
      <c r="F6" s="34">
        <v>165</v>
      </c>
      <c r="G6" s="35">
        <v>115</v>
      </c>
      <c r="H6" s="36" t="s">
        <v>122</v>
      </c>
      <c r="I6" s="30"/>
      <c r="J6" s="34">
        <v>135</v>
      </c>
      <c r="K6" s="35">
        <v>105</v>
      </c>
      <c r="L6" s="36" t="s">
        <v>122</v>
      </c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</row>
    <row r="7" spans="1:37" ht="16.2" thickBot="1">
      <c r="A7" s="203" t="s">
        <v>148</v>
      </c>
      <c r="B7" s="204"/>
      <c r="C7" s="205"/>
      <c r="D7" s="206"/>
      <c r="E7" s="30"/>
      <c r="F7" s="37"/>
      <c r="G7" s="38"/>
      <c r="H7" s="39"/>
      <c r="I7" s="30"/>
      <c r="J7" s="37"/>
      <c r="K7" s="38"/>
      <c r="L7" s="39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7" ht="15.6">
      <c r="A8" s="30"/>
      <c r="B8" s="30"/>
      <c r="C8" s="30"/>
      <c r="D8" s="30"/>
      <c r="E8" s="30"/>
      <c r="F8" s="184" t="s">
        <v>91</v>
      </c>
      <c r="G8" s="185"/>
      <c r="H8" s="220"/>
      <c r="I8" s="30"/>
      <c r="J8" s="184" t="s">
        <v>92</v>
      </c>
      <c r="K8" s="185"/>
      <c r="L8" s="22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176" t="s">
        <v>131</v>
      </c>
      <c r="AA8" s="177"/>
      <c r="AB8" s="177"/>
      <c r="AC8" s="177"/>
      <c r="AD8" s="177"/>
      <c r="AE8" s="178"/>
      <c r="AF8" s="30"/>
      <c r="AG8" s="30"/>
      <c r="AH8" s="30"/>
      <c r="AI8" s="30"/>
      <c r="AJ8" s="30"/>
      <c r="AK8" s="30"/>
    </row>
    <row r="9" spans="1:37" ht="16.2" thickBot="1">
      <c r="A9" s="30"/>
      <c r="B9" s="30"/>
      <c r="C9" s="221" t="s">
        <v>182</v>
      </c>
      <c r="D9" s="221"/>
      <c r="E9" s="30"/>
      <c r="F9" s="31" t="s">
        <v>60</v>
      </c>
      <c r="G9" s="32" t="s">
        <v>63</v>
      </c>
      <c r="H9" s="33" t="s">
        <v>71</v>
      </c>
      <c r="I9" s="30"/>
      <c r="J9" s="31" t="s">
        <v>60</v>
      </c>
      <c r="K9" s="32" t="s">
        <v>63</v>
      </c>
      <c r="L9" s="33" t="s">
        <v>163</v>
      </c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210" t="s">
        <v>132</v>
      </c>
      <c r="AA9" s="211"/>
      <c r="AB9" s="211"/>
      <c r="AC9" s="211"/>
      <c r="AD9" s="211"/>
      <c r="AE9" s="212"/>
      <c r="AF9" s="30"/>
      <c r="AG9" s="30"/>
      <c r="AH9" s="30"/>
      <c r="AI9" s="30"/>
      <c r="AJ9" s="30"/>
      <c r="AK9" s="30"/>
    </row>
    <row r="10" spans="1:37" ht="16.2" customHeight="1" thickBot="1">
      <c r="A10" s="30"/>
      <c r="B10" s="30"/>
      <c r="C10" s="221"/>
      <c r="D10" s="221"/>
      <c r="E10" s="30"/>
      <c r="F10" s="34">
        <v>140</v>
      </c>
      <c r="G10" s="35">
        <v>105</v>
      </c>
      <c r="H10" s="36" t="s">
        <v>122</v>
      </c>
      <c r="I10" s="30"/>
      <c r="J10" s="34">
        <v>110</v>
      </c>
      <c r="K10" s="35">
        <v>95</v>
      </c>
      <c r="L10" s="36">
        <v>80</v>
      </c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184" t="s">
        <v>8</v>
      </c>
      <c r="AA10" s="185"/>
      <c r="AB10" s="185"/>
      <c r="AC10" s="185"/>
      <c r="AD10" s="185"/>
      <c r="AE10" s="185"/>
      <c r="AF10" s="167" t="s">
        <v>105</v>
      </c>
      <c r="AG10" s="168"/>
      <c r="AH10" s="168"/>
      <c r="AI10" s="168"/>
      <c r="AJ10" s="168"/>
      <c r="AK10" s="169"/>
    </row>
    <row r="11" spans="1:37" ht="16.2" thickBot="1">
      <c r="A11" s="30"/>
      <c r="B11" s="30"/>
      <c r="C11" s="30"/>
      <c r="D11" s="30"/>
      <c r="E11" s="30"/>
      <c r="F11" s="37"/>
      <c r="G11" s="38"/>
      <c r="H11" s="39"/>
      <c r="I11" s="30"/>
      <c r="J11" s="37"/>
      <c r="K11" s="38"/>
      <c r="L11" s="39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207" t="s">
        <v>125</v>
      </c>
      <c r="AA11" s="208"/>
      <c r="AB11" s="209"/>
      <c r="AC11" s="213" t="s">
        <v>126</v>
      </c>
      <c r="AD11" s="214"/>
      <c r="AE11" s="215"/>
      <c r="AF11" s="176" t="s">
        <v>125</v>
      </c>
      <c r="AG11" s="177"/>
      <c r="AH11" s="178"/>
      <c r="AI11" s="176" t="s">
        <v>126</v>
      </c>
      <c r="AJ11" s="177"/>
      <c r="AK11" s="178"/>
    </row>
    <row r="12" spans="1:37" ht="16.2" thickBot="1">
      <c r="A12" s="30"/>
      <c r="B12" s="30"/>
      <c r="C12" s="51" t="s">
        <v>116</v>
      </c>
      <c r="D12" s="46"/>
      <c r="E12" s="30"/>
      <c r="F12" s="184" t="s">
        <v>92</v>
      </c>
      <c r="G12" s="185"/>
      <c r="H12" s="220"/>
      <c r="I12" s="30"/>
      <c r="J12" s="184" t="s">
        <v>117</v>
      </c>
      <c r="K12" s="185"/>
      <c r="L12" s="22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184" t="str">
        <f>IF(ISBLANK(HotelEJO),"No Category selected!",HotelEJO)</f>
        <v>No Category selected!</v>
      </c>
      <c r="AA12" s="185"/>
      <c r="AB12" s="220"/>
      <c r="AC12" s="184" t="str">
        <f>IF(ISBLANK(HotelTC),"No Category selected!",HotelTC)</f>
        <v>No Category selected!</v>
      </c>
      <c r="AD12" s="185"/>
      <c r="AE12" s="185"/>
      <c r="AF12" s="179" t="str">
        <f>IF(ISBLANK(HotelEJO),"No Category selected!",HotelEJO)</f>
        <v>No Category selected!</v>
      </c>
      <c r="AG12" s="180"/>
      <c r="AH12" s="181"/>
      <c r="AI12" s="182" t="str">
        <f>IF(ISBLANK(HotelTC),"No Category selected!",HotelTC)</f>
        <v>No Category selected!</v>
      </c>
      <c r="AJ12" s="180"/>
      <c r="AK12" s="183"/>
    </row>
    <row r="13" spans="1:37" ht="16.2" thickBot="1">
      <c r="A13" s="30"/>
      <c r="B13" s="30"/>
      <c r="C13" s="51" t="s">
        <v>106</v>
      </c>
      <c r="D13" s="46"/>
      <c r="E13" s="30"/>
      <c r="F13" s="31" t="s">
        <v>60</v>
      </c>
      <c r="G13" s="32" t="s">
        <v>63</v>
      </c>
      <c r="H13" s="33" t="s">
        <v>163</v>
      </c>
      <c r="I13" s="30"/>
      <c r="J13" s="31" t="s">
        <v>60</v>
      </c>
      <c r="K13" s="32" t="s">
        <v>63</v>
      </c>
      <c r="L13" s="33" t="s">
        <v>71</v>
      </c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1" t="str">
        <f>Parameters!$S$9</f>
        <v>Single</v>
      </c>
      <c r="AA13" s="32" t="str">
        <f>Parameters!$S$10</f>
        <v>Double</v>
      </c>
      <c r="AB13" s="33" t="str">
        <f>Parameters!$S$11</f>
        <v>Triple</v>
      </c>
      <c r="AC13" s="31" t="str">
        <f>Parameters!$S$9</f>
        <v>Single</v>
      </c>
      <c r="AD13" s="32" t="str">
        <f>Parameters!$S$10</f>
        <v>Double</v>
      </c>
      <c r="AE13" s="40" t="str">
        <f>IF(AC12="Hostel","Shared","Triple")</f>
        <v>Triple</v>
      </c>
      <c r="AF13" s="41" t="str">
        <f>Parameters!$S$17</f>
        <v>+lunch</v>
      </c>
      <c r="AG13" s="32" t="str">
        <f>Parameters!$S$18</f>
        <v>+dinner</v>
      </c>
      <c r="AH13" s="33" t="str">
        <f>Parameters!$S$19</f>
        <v>full board</v>
      </c>
      <c r="AI13" s="170" t="str">
        <f>Parameters!$S$19</f>
        <v>full board</v>
      </c>
      <c r="AJ13" s="171"/>
      <c r="AK13" s="172"/>
    </row>
    <row r="14" spans="1:37" ht="15" customHeight="1" thickBot="1">
      <c r="A14" s="30"/>
      <c r="B14" s="52"/>
      <c r="C14" s="30" t="s">
        <v>133</v>
      </c>
      <c r="D14" s="30"/>
      <c r="E14" s="30"/>
      <c r="F14" s="34">
        <v>110</v>
      </c>
      <c r="G14" s="35">
        <v>95</v>
      </c>
      <c r="H14" s="36">
        <v>80</v>
      </c>
      <c r="I14" s="30"/>
      <c r="J14" s="34">
        <v>90</v>
      </c>
      <c r="K14" s="35">
        <v>80</v>
      </c>
      <c r="L14" s="36">
        <v>65</v>
      </c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42" t="str">
        <f>IFERROR(VLOOKUP(HotelEJO&amp;", "&amp;Z13,tblRoomPricesEJO[],4,FALSE),"No Cat!")</f>
        <v>No Cat!</v>
      </c>
      <c r="AA14" s="43" t="str">
        <f>IFERROR(VLOOKUP(HotelEJO&amp;", "&amp;AA13,tblRoomPricesEJO[],4,FALSE),"No Cat!")</f>
        <v>No Cat!</v>
      </c>
      <c r="AB14" s="44" t="str">
        <f>IFERROR(VLOOKUP(HotelEJO&amp;", "&amp;AB13,tblRoomPricesEJO[],4,FALSE),"No Cat!")</f>
        <v>No Cat!</v>
      </c>
      <c r="AC14" s="42" t="str">
        <f>IFERROR(VLOOKUP(HotelTC&amp;", "&amp;AC13,tblRoomPricesTC[],4,FALSE),"No Cat!")</f>
        <v>No Cat!</v>
      </c>
      <c r="AD14" s="43" t="str">
        <f>IFERROR(VLOOKUP(HotelTC&amp;", "&amp;AD13,tblRoomPricesTC[],4,FALSE),"No Cat!")</f>
        <v>No Cat!</v>
      </c>
      <c r="AE14" s="44" t="str">
        <f>IFERROR(VLOOKUP(HotelTC&amp;", "&amp;AE13,tblRoomPricesTC[],4,FALSE),"No Cat!")</f>
        <v>No Cat!</v>
      </c>
      <c r="AF14" s="42" t="str">
        <f>IFERROR(VLOOKUP(HotelEJO&amp;", "&amp;AF13,tblMealPricesEJO[],4,FALSE),"No Cat!")</f>
        <v>No Cat!</v>
      </c>
      <c r="AG14" s="43" t="str">
        <f>IFERROR(VLOOKUP(HotelEJO&amp;", "&amp;AG13,tblMealPricesEJO[],4,FALSE),"No Cat!")</f>
        <v>No Cat!</v>
      </c>
      <c r="AH14" s="44" t="str">
        <f>IFERROR(VLOOKUP(HotelEJO&amp;", "&amp;AH13,tblMealPricesEJO[],4,FALSE),"No Cat!")</f>
        <v>No Cat!</v>
      </c>
      <c r="AI14" s="173" t="str">
        <f>IFERROR(VLOOKUP(HotelTC&amp;", "&amp;AI13,tblMealPricesEJUTC[],4,FALSE),"No Cat!")</f>
        <v>No Cat!</v>
      </c>
      <c r="AJ14" s="174"/>
      <c r="AK14" s="175"/>
    </row>
    <row r="15" spans="1:37" ht="15" customHeight="1">
      <c r="A15" s="30"/>
      <c r="B15" s="52"/>
      <c r="C15" s="30"/>
      <c r="D15" s="30"/>
      <c r="E15" s="30"/>
      <c r="F15" s="38"/>
      <c r="G15" s="38"/>
      <c r="H15" s="38"/>
      <c r="I15" s="30"/>
      <c r="J15" s="38"/>
      <c r="K15" s="38"/>
      <c r="L15" s="38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</row>
    <row r="16" spans="1:37" ht="15.6" customHeight="1">
      <c r="B16" s="30"/>
      <c r="C16" s="160" t="s">
        <v>206</v>
      </c>
      <c r="D16" s="53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45" t="str">
        <f>IF(SUM($BS$20:$BS$49)=0,"","2 nights required for Training Camp")</f>
        <v/>
      </c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</row>
    <row r="17" spans="1:76" ht="15" customHeight="1" thickBot="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</row>
    <row r="18" spans="1:76" ht="16.2" customHeight="1" thickBot="1">
      <c r="A18" s="30"/>
      <c r="B18" s="186" t="s">
        <v>5</v>
      </c>
      <c r="C18" s="187"/>
      <c r="D18" s="187"/>
      <c r="E18" s="187"/>
      <c r="F18" s="194" t="s">
        <v>6</v>
      </c>
      <c r="G18" s="195"/>
      <c r="H18" s="195"/>
      <c r="I18" s="195"/>
      <c r="J18" s="195"/>
      <c r="K18" s="196"/>
      <c r="L18" s="188" t="s">
        <v>3</v>
      </c>
      <c r="M18" s="189"/>
      <c r="N18" s="189"/>
      <c r="O18" s="189"/>
      <c r="P18" s="189"/>
      <c r="Q18" s="190"/>
      <c r="R18" s="191" t="s">
        <v>4</v>
      </c>
      <c r="S18" s="192"/>
      <c r="T18" s="192"/>
      <c r="U18" s="192"/>
      <c r="V18" s="192"/>
      <c r="W18" s="193"/>
      <c r="X18" s="197" t="s">
        <v>7</v>
      </c>
      <c r="Y18" s="198"/>
      <c r="Z18" s="184" t="s">
        <v>8</v>
      </c>
      <c r="AA18" s="185"/>
      <c r="AB18" s="185"/>
      <c r="AC18" s="185"/>
      <c r="AD18" s="185"/>
      <c r="AE18" s="185"/>
      <c r="AF18" s="184" t="s">
        <v>105</v>
      </c>
      <c r="AG18" s="185"/>
      <c r="AH18" s="185"/>
      <c r="AI18" s="185"/>
      <c r="AJ18" s="185"/>
      <c r="AK18" s="185"/>
      <c r="AL18" s="76" t="s">
        <v>141</v>
      </c>
      <c r="AM18" s="77" t="s">
        <v>118</v>
      </c>
      <c r="AN18" s="77" t="s">
        <v>118</v>
      </c>
      <c r="AO18" s="77" t="s">
        <v>118</v>
      </c>
      <c r="AP18" s="77" t="s">
        <v>118</v>
      </c>
      <c r="AQ18" s="77" t="s">
        <v>118</v>
      </c>
      <c r="AR18" s="164" t="s">
        <v>135</v>
      </c>
      <c r="AS18" s="165"/>
      <c r="AT18" s="165"/>
      <c r="AU18" s="165"/>
      <c r="AV18" s="165"/>
      <c r="AW18" s="166"/>
      <c r="AX18" s="161" t="s">
        <v>134</v>
      </c>
      <c r="AY18" s="161"/>
      <c r="AZ18" s="161"/>
      <c r="BA18" s="161"/>
      <c r="BB18" s="161"/>
      <c r="BC18" s="161"/>
      <c r="BD18" s="162"/>
      <c r="BE18" s="163" t="s">
        <v>142</v>
      </c>
      <c r="BF18" s="161"/>
      <c r="BG18" s="161"/>
      <c r="BH18" s="161"/>
      <c r="BI18" s="161"/>
      <c r="BJ18" s="161"/>
      <c r="BK18" s="161" t="s">
        <v>134</v>
      </c>
      <c r="BL18" s="161"/>
      <c r="BM18" s="161"/>
      <c r="BN18" s="161"/>
      <c r="BO18" s="161"/>
      <c r="BP18" s="161"/>
      <c r="BQ18" s="162"/>
      <c r="BR18" s="77">
        <f>SUM(BR20:BR49)</f>
        <v>0</v>
      </c>
      <c r="BS18" s="77" t="s">
        <v>118</v>
      </c>
      <c r="BT18" s="77" t="s">
        <v>118</v>
      </c>
      <c r="BU18" s="77" t="s">
        <v>118</v>
      </c>
      <c r="BV18" s="77" t="s">
        <v>118</v>
      </c>
      <c r="BW18" s="77" t="s">
        <v>118</v>
      </c>
      <c r="BX18" s="77" t="s">
        <v>118</v>
      </c>
    </row>
    <row r="19" spans="1:76" ht="76.2" customHeight="1" thickBot="1">
      <c r="A19" s="30"/>
      <c r="B19" s="54" t="s">
        <v>9</v>
      </c>
      <c r="C19" s="55" t="s">
        <v>10</v>
      </c>
      <c r="D19" s="56" t="s">
        <v>11</v>
      </c>
      <c r="E19" s="56" t="s">
        <v>12</v>
      </c>
      <c r="F19" s="57" t="s">
        <v>2</v>
      </c>
      <c r="G19" s="58" t="s">
        <v>13</v>
      </c>
      <c r="H19" s="58" t="s">
        <v>14</v>
      </c>
      <c r="I19" s="59" t="s">
        <v>15</v>
      </c>
      <c r="J19" s="59" t="s">
        <v>16</v>
      </c>
      <c r="K19" s="60" t="s">
        <v>17</v>
      </c>
      <c r="L19" s="61" t="s">
        <v>18</v>
      </c>
      <c r="M19" s="62" t="s">
        <v>19</v>
      </c>
      <c r="N19" s="62" t="s">
        <v>22</v>
      </c>
      <c r="O19" s="63" t="s">
        <v>20</v>
      </c>
      <c r="P19" s="63" t="s">
        <v>21</v>
      </c>
      <c r="Q19" s="64" t="s">
        <v>183</v>
      </c>
      <c r="R19" s="65" t="s">
        <v>18</v>
      </c>
      <c r="S19" s="66" t="s">
        <v>19</v>
      </c>
      <c r="T19" s="67" t="s">
        <v>23</v>
      </c>
      <c r="U19" s="68" t="s">
        <v>20</v>
      </c>
      <c r="V19" s="68" t="s">
        <v>21</v>
      </c>
      <c r="W19" s="69" t="s">
        <v>183</v>
      </c>
      <c r="X19" s="70" t="s">
        <v>24</v>
      </c>
      <c r="Y19" s="71" t="s">
        <v>25</v>
      </c>
      <c r="Z19" s="72">
        <f>Parameters!$M$3</f>
        <v>43734</v>
      </c>
      <c r="AA19" s="72">
        <f>Parameters!$M$4</f>
        <v>43735</v>
      </c>
      <c r="AB19" s="72">
        <f>Parameters!$M$5</f>
        <v>43736</v>
      </c>
      <c r="AC19" s="73">
        <f>Parameters!$M$6</f>
        <v>43737</v>
      </c>
      <c r="AD19" s="74">
        <f>Parameters!$M$7</f>
        <v>43738</v>
      </c>
      <c r="AE19" s="74">
        <f>Parameters!$O$6</f>
        <v>43739</v>
      </c>
      <c r="AF19" s="72">
        <f>Parameters!$M$3</f>
        <v>43734</v>
      </c>
      <c r="AG19" s="72">
        <f>Parameters!$M$4</f>
        <v>43735</v>
      </c>
      <c r="AH19" s="72">
        <f>Parameters!$M$5</f>
        <v>43736</v>
      </c>
      <c r="AI19" s="73">
        <f>Parameters!$M$6</f>
        <v>43737</v>
      </c>
      <c r="AJ19" s="74">
        <f>Parameters!$M$7</f>
        <v>43738</v>
      </c>
      <c r="AK19" s="75">
        <f>Parameters!$O$6</f>
        <v>43739</v>
      </c>
      <c r="AL19" s="78">
        <f>SUM(AL20:AL49)</f>
        <v>0</v>
      </c>
      <c r="AM19" s="79" t="s">
        <v>143</v>
      </c>
      <c r="AN19" s="79" t="s">
        <v>146</v>
      </c>
      <c r="AO19" s="79" t="s">
        <v>144</v>
      </c>
      <c r="AP19" s="79" t="s">
        <v>174</v>
      </c>
      <c r="AQ19" s="79" t="s">
        <v>175</v>
      </c>
      <c r="AR19" s="80">
        <v>43734</v>
      </c>
      <c r="AS19" s="80">
        <v>43735</v>
      </c>
      <c r="AT19" s="80">
        <v>43736</v>
      </c>
      <c r="AU19" s="81">
        <v>43737</v>
      </c>
      <c r="AV19" s="80">
        <v>43738</v>
      </c>
      <c r="AW19" s="80">
        <v>43739</v>
      </c>
      <c r="AX19" s="82">
        <v>43734</v>
      </c>
      <c r="AY19" s="82">
        <v>43735</v>
      </c>
      <c r="AZ19" s="82">
        <v>43736</v>
      </c>
      <c r="BA19" s="83" t="s">
        <v>172</v>
      </c>
      <c r="BB19" s="83" t="s">
        <v>173</v>
      </c>
      <c r="BC19" s="82">
        <v>43738</v>
      </c>
      <c r="BD19" s="84">
        <v>43739</v>
      </c>
      <c r="BE19" s="85">
        <v>43734</v>
      </c>
      <c r="BF19" s="82">
        <v>43735</v>
      </c>
      <c r="BG19" s="82">
        <v>43736</v>
      </c>
      <c r="BH19" s="83">
        <v>43737</v>
      </c>
      <c r="BI19" s="82">
        <v>43738</v>
      </c>
      <c r="BJ19" s="82">
        <v>43739</v>
      </c>
      <c r="BK19" s="82">
        <v>43734</v>
      </c>
      <c r="BL19" s="82">
        <v>43735</v>
      </c>
      <c r="BM19" s="82">
        <v>43736</v>
      </c>
      <c r="BN19" s="83" t="s">
        <v>172</v>
      </c>
      <c r="BO19" s="83" t="s">
        <v>173</v>
      </c>
      <c r="BP19" s="82">
        <v>43738</v>
      </c>
      <c r="BQ19" s="84">
        <v>43739</v>
      </c>
      <c r="BR19" s="79" t="s">
        <v>121</v>
      </c>
      <c r="BS19" s="79" t="s">
        <v>120</v>
      </c>
      <c r="BT19" s="79" t="s">
        <v>119</v>
      </c>
      <c r="BU19" s="79" t="s">
        <v>128</v>
      </c>
      <c r="BV19" s="79" t="s">
        <v>127</v>
      </c>
      <c r="BW19" s="79" t="s">
        <v>139</v>
      </c>
      <c r="BX19" s="79" t="s">
        <v>140</v>
      </c>
    </row>
    <row r="20" spans="1:76">
      <c r="A20">
        <v>1</v>
      </c>
      <c r="B20" s="1"/>
      <c r="C20" s="2"/>
      <c r="D20" s="3"/>
      <c r="E20" s="4"/>
      <c r="F20" s="6"/>
      <c r="G20" s="2"/>
      <c r="H20" s="2"/>
      <c r="I20" s="2"/>
      <c r="J20" s="4"/>
      <c r="K20" s="7"/>
      <c r="L20" s="8"/>
      <c r="M20" s="9"/>
      <c r="N20" s="10"/>
      <c r="O20" s="2"/>
      <c r="P20" s="10"/>
      <c r="Q20" s="11"/>
      <c r="R20" s="8"/>
      <c r="S20" s="9"/>
      <c r="T20" s="10"/>
      <c r="U20" s="10"/>
      <c r="V20" s="2"/>
      <c r="W20" s="11"/>
      <c r="X20" s="6"/>
      <c r="Y20" s="5"/>
      <c r="Z20" s="26"/>
      <c r="AA20" s="26"/>
      <c r="AB20" s="26"/>
      <c r="AC20" s="26"/>
      <c r="AD20" s="26"/>
      <c r="AE20" s="26"/>
      <c r="AF20" s="23"/>
      <c r="AG20" s="23"/>
      <c r="AH20" s="23"/>
      <c r="AI20" s="23"/>
      <c r="AJ20" s="23"/>
      <c r="AK20" s="23"/>
      <c r="AL20" s="86" t="str">
        <f t="shared" ref="AL20:AL49" si="0">IF(ISBLANK(B20),"",SUM(AO20:BD20)+AM20)</f>
        <v/>
      </c>
      <c r="AM20" s="87">
        <f>IFERROR(IF(AND(VLOOKUP(D20,tblWeightOrFunction[],6,FALSE)=Parameters!$F$3,L20&lt;$AC$19,NOT(VLOOKUP(D20,tblWeightOrFunction[],4,FALSE)=Parameters!$D$3)),20,0),0)</f>
        <v>0</v>
      </c>
      <c r="AN20" s="27">
        <f>IFERROR(IF(AND(VLOOKUP(D20,tblWeightOrFunction[],6,FALSE)=Parameters!$F$3,R20&gt;$AE$19),1,0),0)</f>
        <v>0</v>
      </c>
      <c r="AO20" s="87">
        <f>IF(AN20=1,IF(ContFede=Parameters!EJU,30,100),0)</f>
        <v>0</v>
      </c>
      <c r="AP20" s="87">
        <f t="shared" ref="AP20:AP49" si="1">IF(AND(COUNTIF(Z20:AB20,"&lt;&gt;")=0,L20&lt;$AC$19,NOT(ISBLANK(B20))),100,0)</f>
        <v>0</v>
      </c>
      <c r="AQ20" s="87">
        <f t="shared" ref="AQ20:AQ49" si="2">IF(AND(COUNTIF(AC20:AE20,"&lt;&gt;")&lt;2,R20&gt;$AD$19),100,0)</f>
        <v>0</v>
      </c>
      <c r="AR20" s="87" t="str">
        <f>IFERROR(VLOOKUP(Z20,tblRoomPricesSunday[],4,FALSE),"")</f>
        <v/>
      </c>
      <c r="AS20" s="87" t="str">
        <f>IFERROR(VLOOKUP(AA20,tblRoomPricesSunday[],4,FALSE),"")</f>
        <v/>
      </c>
      <c r="AT20" s="87" t="str">
        <f>IFERROR(VLOOKUP(AB20,tblRoomPricesSunday[],4,FALSE),"")</f>
        <v/>
      </c>
      <c r="AU20" s="87" t="str">
        <f>IFERROR(VLOOKUP(AC20,tblRoomPricesSunday[],4,FALSE),"")</f>
        <v/>
      </c>
      <c r="AV20" s="87" t="str">
        <f>IFERROR(VLOOKUP(AD20,tblRoomPricesSunday[],4,FALSE),"")</f>
        <v/>
      </c>
      <c r="AW20" s="88" t="str">
        <f>IFERROR(VLOOKUP(AE20,tblRoomPricesSunday[],4,FALSE),"")</f>
        <v/>
      </c>
      <c r="AX20" s="87" t="str">
        <f>IFERROR(VLOOKUP(HotelEJO&amp;", "&amp;AF20,tblMealPricesEJO[],4,FALSE),"")</f>
        <v/>
      </c>
      <c r="AY20" s="87" t="str">
        <f>IFERROR(VLOOKUP(HotelEJO&amp;", "&amp;AG20,tblMealPricesEJO[],4,FALSE),"")</f>
        <v/>
      </c>
      <c r="AZ20" s="87" t="str">
        <f>IFERROR(VLOOKUP(HotelEJO&amp;", "&amp;AH20,tblMealPricesEJO[],4,FALSE),"")</f>
        <v/>
      </c>
      <c r="BA20" s="87" t="str">
        <f>IFERROR(IF(L20&lt;$AC$19,VLOOKUP(BT20&amp;", "&amp;AI20,tblMealPricesEJO[],4,FALSE),""),"")</f>
        <v/>
      </c>
      <c r="BB20" s="87" t="str">
        <f>IFERROR(IF(L20&lt;$AC$19,"",VLOOKUP(BT20&amp;", "&amp;AI20,tblMealPricesEJUTC[],4,FALSE)),"")</f>
        <v/>
      </c>
      <c r="BC20" s="87" t="str">
        <f>IFERROR(VLOOKUP(HotelTC&amp;", "&amp;AJ20,tblMealPricesEJUTC[],4,FALSE),"")</f>
        <v/>
      </c>
      <c r="BD20" s="87" t="str">
        <f>IFERROR(VLOOKUP(HotelTC&amp;", "&amp;AK20,tblMealPricesEJUTC[],4,FALSE),"")</f>
        <v/>
      </c>
      <c r="BE20" s="89" t="str">
        <f>IFERROR(VLOOKUP(Z20,tblRoomPricesSunday[],2,FALSE),"")</f>
        <v/>
      </c>
      <c r="BF20" s="27" t="str">
        <f>IFERROR(VLOOKUP(AA20,tblRoomPricesSunday[],2,FALSE),"")</f>
        <v/>
      </c>
      <c r="BG20" s="27" t="str">
        <f>IFERROR(VLOOKUP(AB20,tblRoomPricesSunday[],2,FALSE),"")</f>
        <v/>
      </c>
      <c r="BH20" s="27" t="str">
        <f>IFERROR(VLOOKUP(AC20,tblRoomPricesSunday[],2,FALSE),"")</f>
        <v/>
      </c>
      <c r="BI20" s="27" t="str">
        <f>IFERROR(VLOOKUP(AD20,tblRoomPricesSunday[],2,FALSE),"")</f>
        <v/>
      </c>
      <c r="BJ20" s="90" t="str">
        <f>IFERROR(VLOOKUP(AE20,tblRoomPricesSunday[],2,FALSE),"")</f>
        <v/>
      </c>
      <c r="BK20" s="87" t="str">
        <f>IFERROR(VLOOKUP(HotelEJO&amp;", "&amp;AF20,tblMealPricesEJO[],3,FALSE),"")</f>
        <v/>
      </c>
      <c r="BL20" s="87" t="str">
        <f>IFERROR(VLOOKUP(HotelEJO&amp;", "&amp;AG20,tblMealPricesEJO[],3,FALSE),"")</f>
        <v/>
      </c>
      <c r="BM20" s="87" t="str">
        <f>IFERROR(VLOOKUP(HotelEJO&amp;", "&amp;AH20,tblMealPricesEJO[],3,FALSE),"")</f>
        <v/>
      </c>
      <c r="BN20" s="87" t="str">
        <f>IFERROR(IF(L20&lt;$AC$19,VLOOKUP(BT20&amp;", "&amp;AI20,tblMealPricesEJO[],3,FALSE),""),"")</f>
        <v/>
      </c>
      <c r="BO20" s="87" t="str">
        <f>IFERROR(IF(L20&lt;$AC$19,"",VLOOKUP(BT20&amp;", "&amp;AI20,tblMealPricesEJUTC[],3,FALSE)),"")</f>
        <v/>
      </c>
      <c r="BP20" s="87" t="str">
        <f>IFERROR(VLOOKUP(HotelTC&amp;", "&amp;AJ20,tblMealPricesEJUTC[],3,FALSE),"")</f>
        <v/>
      </c>
      <c r="BQ20" s="87" t="str">
        <f>IFERROR(VLOOKUP(HotelTC&amp;", "&amp;AK20,tblMealPricesEJUTC[],3,FALSE),"")</f>
        <v/>
      </c>
      <c r="BR20" s="91">
        <f t="shared" ref="BR20:BR49" si="3">R20-L20</f>
        <v>0</v>
      </c>
      <c r="BS20" s="91">
        <f t="shared" ref="BS20:BS49" si="4">IF(AND(L20&gt;=$AC$19,BR20&lt;2),1,0)</f>
        <v>0</v>
      </c>
      <c r="BT20" s="91">
        <f t="shared" ref="BT20:BT49" si="5">IF(L20&lt;$AC$19,HotelEJO,HotelTC)</f>
        <v>0</v>
      </c>
      <c r="BU20" s="91">
        <f>IF(BT20="Coque","Error1",BT20)</f>
        <v>0</v>
      </c>
      <c r="BV20" s="91">
        <f t="shared" ref="BV20:BV49" si="6">IF(BT20="Coque",1,0)</f>
        <v>0</v>
      </c>
      <c r="BW20" s="91">
        <f t="shared" ref="BW20:BW49" si="7">HotelEJO</f>
        <v>0</v>
      </c>
      <c r="BX20" s="91">
        <f t="shared" ref="BX20:BX49" si="8">HotelTC</f>
        <v>0</v>
      </c>
    </row>
    <row r="21" spans="1:76">
      <c r="A21">
        <v>2</v>
      </c>
      <c r="B21" s="1"/>
      <c r="C21" s="2"/>
      <c r="D21" s="3"/>
      <c r="E21" s="4"/>
      <c r="F21" s="6"/>
      <c r="G21" s="2"/>
      <c r="H21" s="2"/>
      <c r="I21" s="2"/>
      <c r="J21" s="4"/>
      <c r="K21" s="7"/>
      <c r="L21" s="8"/>
      <c r="M21" s="9"/>
      <c r="N21" s="10"/>
      <c r="O21" s="2"/>
      <c r="P21" s="10"/>
      <c r="Q21" s="11"/>
      <c r="R21" s="8"/>
      <c r="S21" s="9"/>
      <c r="T21" s="10"/>
      <c r="U21" s="10"/>
      <c r="V21" s="2"/>
      <c r="W21" s="11"/>
      <c r="X21" s="6"/>
      <c r="Y21" s="5"/>
      <c r="Z21" s="26"/>
      <c r="AA21" s="26"/>
      <c r="AB21" s="26"/>
      <c r="AC21" s="26"/>
      <c r="AD21" s="26"/>
      <c r="AE21" s="26"/>
      <c r="AF21" s="23"/>
      <c r="AG21" s="23"/>
      <c r="AH21" s="23"/>
      <c r="AI21" s="23"/>
      <c r="AJ21" s="23"/>
      <c r="AK21" s="23"/>
      <c r="AL21" s="86" t="str">
        <f t="shared" si="0"/>
        <v/>
      </c>
      <c r="AM21" s="87">
        <f>IFERROR(IF(AND(VLOOKUP(D21,tblWeightOrFunction[],6,FALSE)=Parameters!$F$3,L21&lt;$AC$19,NOT(VLOOKUP(D21,tblWeightOrFunction[],4,FALSE)=Parameters!$D$3)),20,0),0)</f>
        <v>0</v>
      </c>
      <c r="AN21" s="27">
        <f>IFERROR(IF(AND(VLOOKUP(D21,tblWeightOrFunction[],6,FALSE)=Parameters!$F$3,R21&gt;$AE$19),1,0),0)</f>
        <v>0</v>
      </c>
      <c r="AO21" s="87">
        <f>IF(AN21=1,IF(ContFede=Parameters!EJU,30,100),0)</f>
        <v>0</v>
      </c>
      <c r="AP21" s="87">
        <f t="shared" si="1"/>
        <v>0</v>
      </c>
      <c r="AQ21" s="87">
        <f t="shared" si="2"/>
        <v>0</v>
      </c>
      <c r="AR21" s="87" t="str">
        <f>IFERROR(VLOOKUP(Z21,tblRoomPricesSunday[],4,FALSE),"")</f>
        <v/>
      </c>
      <c r="AS21" s="87" t="str">
        <f>IFERROR(VLOOKUP(AA21,tblRoomPricesSunday[],4,FALSE),"")</f>
        <v/>
      </c>
      <c r="AT21" s="87" t="str">
        <f>IFERROR(VLOOKUP(AB21,tblRoomPricesSunday[],4,FALSE),"")</f>
        <v/>
      </c>
      <c r="AU21" s="87" t="str">
        <f>IFERROR(VLOOKUP(AC21,tblRoomPricesSunday[],4,FALSE),"")</f>
        <v/>
      </c>
      <c r="AV21" s="87" t="str">
        <f>IFERROR(VLOOKUP(AD21,tblRoomPricesSunday[],4,FALSE),"")</f>
        <v/>
      </c>
      <c r="AW21" s="92" t="str">
        <f>IFERROR(VLOOKUP(AE21,tblRoomPricesSunday[],4,FALSE),"")</f>
        <v/>
      </c>
      <c r="AX21" s="87" t="str">
        <f>IFERROR(VLOOKUP(HotelEJO&amp;", "&amp;AF21,tblMealPricesEJO[],4,FALSE),"")</f>
        <v/>
      </c>
      <c r="AY21" s="87" t="str">
        <f>IFERROR(VLOOKUP(HotelEJO&amp;", "&amp;AG21,tblMealPricesEJO[],4,FALSE),"")</f>
        <v/>
      </c>
      <c r="AZ21" s="87" t="str">
        <f>IFERROR(VLOOKUP(HotelEJO&amp;", "&amp;AH21,tblMealPricesEJO[],4,FALSE),"")</f>
        <v/>
      </c>
      <c r="BA21" s="87" t="str">
        <f>IFERROR(IF(L21&lt;$AC$19,VLOOKUP(BT21&amp;", "&amp;AI21,tblMealPricesEJO[],4,FALSE),""),"")</f>
        <v/>
      </c>
      <c r="BB21" s="87" t="str">
        <f>IFERROR(IF(L21&lt;$AC$19,"",VLOOKUP(BT21&amp;", "&amp;AI21,tblMealPricesEJUTC[],4,FALSE)),"")</f>
        <v/>
      </c>
      <c r="BC21" s="87" t="str">
        <f>IFERROR(VLOOKUP(HotelTC&amp;", "&amp;AJ21,tblMealPricesEJUTC[],4,FALSE),"")</f>
        <v/>
      </c>
      <c r="BD21" s="87" t="str">
        <f>IFERROR(VLOOKUP(HotelTC&amp;", "&amp;AK21,tblMealPricesEJUTC[],4,FALSE),"")</f>
        <v/>
      </c>
      <c r="BE21" s="93" t="str">
        <f>IFERROR(VLOOKUP(Z21,tblRoomPricesSunday[],2,FALSE),"")</f>
        <v/>
      </c>
      <c r="BF21" s="27" t="str">
        <f>IFERROR(VLOOKUP(AA21,tblRoomPricesSunday[],2,FALSE),"")</f>
        <v/>
      </c>
      <c r="BG21" s="27" t="str">
        <f>IFERROR(VLOOKUP(AB21,tblRoomPricesSunday[],2,FALSE),"")</f>
        <v/>
      </c>
      <c r="BH21" s="27" t="str">
        <f>IFERROR(VLOOKUP(AC21,tblRoomPricesSunday[],2,FALSE),"")</f>
        <v/>
      </c>
      <c r="BI21" s="27" t="str">
        <f>IFERROR(VLOOKUP(AD21,tblRoomPricesSunday[],2,FALSE),"")</f>
        <v/>
      </c>
      <c r="BJ21" s="94" t="str">
        <f>IFERROR(VLOOKUP(AE21,tblRoomPricesSunday[],2,FALSE),"")</f>
        <v/>
      </c>
      <c r="BK21" s="87" t="str">
        <f>IFERROR(VLOOKUP(HotelEJO&amp;", "&amp;AF21,tblMealPricesEJO[],3,FALSE),"")</f>
        <v/>
      </c>
      <c r="BL21" s="87" t="str">
        <f>IFERROR(VLOOKUP(HotelEJO&amp;", "&amp;AG21,tblMealPricesEJO[],3,FALSE),"")</f>
        <v/>
      </c>
      <c r="BM21" s="87" t="str">
        <f>IFERROR(VLOOKUP(HotelEJO&amp;", "&amp;AH21,tblMealPricesEJO[],3,FALSE),"")</f>
        <v/>
      </c>
      <c r="BN21" s="87" t="str">
        <f>IFERROR(IF(L21&lt;$AC$19,VLOOKUP(BT21&amp;", "&amp;AI21,tblMealPricesEJO[],3,FALSE),""),"")</f>
        <v/>
      </c>
      <c r="BO21" s="87" t="str">
        <f>IFERROR(IF(L21&lt;$AC$19,"",VLOOKUP(BT21&amp;", "&amp;AI21,tblMealPricesEJUTC[],3,FALSE)),"")</f>
        <v/>
      </c>
      <c r="BP21" s="87" t="str">
        <f>IFERROR(VLOOKUP(HotelTC&amp;", "&amp;AJ21,tblMealPricesEJUTC[],3,FALSE),"")</f>
        <v/>
      </c>
      <c r="BQ21" s="87" t="str">
        <f>IFERROR(VLOOKUP(HotelTC&amp;", "&amp;AK21,tblMealPricesEJUTC[],3,FALSE),"")</f>
        <v/>
      </c>
      <c r="BR21" s="91">
        <f t="shared" si="3"/>
        <v>0</v>
      </c>
      <c r="BS21" s="91">
        <f t="shared" si="4"/>
        <v>0</v>
      </c>
      <c r="BT21" s="91">
        <f t="shared" si="5"/>
        <v>0</v>
      </c>
      <c r="BU21" s="91">
        <f>IF(BT21="Coque","Error1",BT21)</f>
        <v>0</v>
      </c>
      <c r="BV21" s="91">
        <f t="shared" si="6"/>
        <v>0</v>
      </c>
      <c r="BW21" s="91">
        <f t="shared" si="7"/>
        <v>0</v>
      </c>
      <c r="BX21" s="91">
        <f t="shared" si="8"/>
        <v>0</v>
      </c>
    </row>
    <row r="22" spans="1:76">
      <c r="A22">
        <v>3</v>
      </c>
      <c r="B22" s="1"/>
      <c r="C22" s="2"/>
      <c r="D22" s="3"/>
      <c r="E22" s="4"/>
      <c r="F22" s="6"/>
      <c r="G22" s="2"/>
      <c r="H22" s="2"/>
      <c r="I22" s="2"/>
      <c r="J22" s="4"/>
      <c r="K22" s="7"/>
      <c r="L22" s="8"/>
      <c r="M22" s="9"/>
      <c r="N22" s="10"/>
      <c r="O22" s="2"/>
      <c r="P22" s="10"/>
      <c r="Q22" s="11"/>
      <c r="R22" s="8"/>
      <c r="S22" s="9"/>
      <c r="T22" s="10"/>
      <c r="U22" s="10"/>
      <c r="V22" s="2"/>
      <c r="W22" s="11"/>
      <c r="X22" s="6"/>
      <c r="Y22" s="5"/>
      <c r="Z22" s="26"/>
      <c r="AA22" s="26"/>
      <c r="AB22" s="26"/>
      <c r="AC22" s="26"/>
      <c r="AD22" s="26"/>
      <c r="AE22" s="26"/>
      <c r="AF22" s="23"/>
      <c r="AG22" s="23"/>
      <c r="AH22" s="23"/>
      <c r="AI22" s="23"/>
      <c r="AJ22" s="23"/>
      <c r="AK22" s="23"/>
      <c r="AL22" s="86" t="str">
        <f t="shared" si="0"/>
        <v/>
      </c>
      <c r="AM22" s="87">
        <f>IFERROR(IF(AND(VLOOKUP(D22,tblWeightOrFunction[],6,FALSE)=Parameters!$F$3,L22&lt;$AC$19,NOT(VLOOKUP(D22,tblWeightOrFunction[],4,FALSE)=Parameters!$D$3)),20,0),0)</f>
        <v>0</v>
      </c>
      <c r="AN22" s="27">
        <f>IFERROR(IF(AND(VLOOKUP(D22,tblWeightOrFunction[],6,FALSE)=Parameters!$F$3,R22&gt;$AE$19),1,0),0)</f>
        <v>0</v>
      </c>
      <c r="AO22" s="87">
        <f>IF(AN22=1,IF(ContFede=Parameters!EJU,30,100),0)</f>
        <v>0</v>
      </c>
      <c r="AP22" s="87">
        <f t="shared" si="1"/>
        <v>0</v>
      </c>
      <c r="AQ22" s="87">
        <f t="shared" si="2"/>
        <v>0</v>
      </c>
      <c r="AR22" s="87" t="str">
        <f>IFERROR(VLOOKUP(Z22,tblRoomPricesSunday[],4,FALSE),"")</f>
        <v/>
      </c>
      <c r="AS22" s="87" t="str">
        <f>IFERROR(VLOOKUP(AA22,tblRoomPricesSunday[],4,FALSE),"")</f>
        <v/>
      </c>
      <c r="AT22" s="87" t="str">
        <f>IFERROR(VLOOKUP(AB22,tblRoomPricesSunday[],4,FALSE),"")</f>
        <v/>
      </c>
      <c r="AU22" s="87" t="str">
        <f>IFERROR(VLOOKUP(AC22,tblRoomPricesSunday[],4,FALSE),"")</f>
        <v/>
      </c>
      <c r="AV22" s="87" t="str">
        <f>IFERROR(VLOOKUP(AD22,tblRoomPricesSunday[],4,FALSE),"")</f>
        <v/>
      </c>
      <c r="AW22" s="92" t="str">
        <f>IFERROR(VLOOKUP(AE22,tblRoomPricesSunday[],4,FALSE),"")</f>
        <v/>
      </c>
      <c r="AX22" s="87" t="str">
        <f>IFERROR(VLOOKUP(HotelEJO&amp;", "&amp;AF22,tblMealPricesEJO[],4,FALSE),"")</f>
        <v/>
      </c>
      <c r="AY22" s="87" t="str">
        <f>IFERROR(VLOOKUP(HotelEJO&amp;", "&amp;AG22,tblMealPricesEJO[],4,FALSE),"")</f>
        <v/>
      </c>
      <c r="AZ22" s="87" t="str">
        <f>IFERROR(VLOOKUP(HotelEJO&amp;", "&amp;AH22,tblMealPricesEJO[],4,FALSE),"")</f>
        <v/>
      </c>
      <c r="BA22" s="87" t="str">
        <f>IFERROR(IF(L22&lt;$AC$19,VLOOKUP(BT22&amp;", "&amp;AI22,tblMealPricesEJO[],4,FALSE),""),"")</f>
        <v/>
      </c>
      <c r="BB22" s="87" t="str">
        <f>IFERROR(IF(L22&lt;$AC$19,"",VLOOKUP(BT22&amp;", "&amp;AI22,tblMealPricesEJUTC[],4,FALSE)),"")</f>
        <v/>
      </c>
      <c r="BC22" s="87" t="str">
        <f>IFERROR(VLOOKUP(HotelTC&amp;", "&amp;AJ22,tblMealPricesEJUTC[],4,FALSE),"")</f>
        <v/>
      </c>
      <c r="BD22" s="87" t="str">
        <f>IFERROR(VLOOKUP(HotelTC&amp;", "&amp;AK22,tblMealPricesEJUTC[],4,FALSE),"")</f>
        <v/>
      </c>
      <c r="BE22" s="93" t="str">
        <f>IFERROR(VLOOKUP(Z22,tblRoomPricesSunday[],2,FALSE),"")</f>
        <v/>
      </c>
      <c r="BF22" s="27" t="str">
        <f>IFERROR(VLOOKUP(AA22,tblRoomPricesSunday[],2,FALSE),"")</f>
        <v/>
      </c>
      <c r="BG22" s="27" t="str">
        <f>IFERROR(VLOOKUP(AB22,tblRoomPricesSunday[],2,FALSE),"")</f>
        <v/>
      </c>
      <c r="BH22" s="27" t="str">
        <f>IFERROR(VLOOKUP(AC22,tblRoomPricesSunday[],2,FALSE),"")</f>
        <v/>
      </c>
      <c r="BI22" s="27" t="str">
        <f>IFERROR(VLOOKUP(AD22,tblRoomPricesSunday[],2,FALSE),"")</f>
        <v/>
      </c>
      <c r="BJ22" s="94" t="str">
        <f>IFERROR(VLOOKUP(AE22,tblRoomPricesSunday[],2,FALSE),"")</f>
        <v/>
      </c>
      <c r="BK22" s="87" t="str">
        <f>IFERROR(VLOOKUP(HotelEJO&amp;", "&amp;AF22,tblMealPricesEJO[],3,FALSE),"")</f>
        <v/>
      </c>
      <c r="BL22" s="87" t="str">
        <f>IFERROR(VLOOKUP(HotelEJO&amp;", "&amp;AG22,tblMealPricesEJO[],3,FALSE),"")</f>
        <v/>
      </c>
      <c r="BM22" s="87" t="str">
        <f>IFERROR(VLOOKUP(HotelEJO&amp;", "&amp;AH22,tblMealPricesEJO[],3,FALSE),"")</f>
        <v/>
      </c>
      <c r="BN22" s="87" t="str">
        <f>IFERROR(IF(L22&lt;$AC$19,VLOOKUP(BT22&amp;", "&amp;AI22,tblMealPricesEJO[],3,FALSE),""),"")</f>
        <v/>
      </c>
      <c r="BO22" s="87" t="str">
        <f>IFERROR(IF(L22&lt;$AC$19,"",VLOOKUP(BT22&amp;", "&amp;AI22,tblMealPricesEJUTC[],3,FALSE)),"")</f>
        <v/>
      </c>
      <c r="BP22" s="87" t="str">
        <f>IFERROR(VLOOKUP(HotelTC&amp;", "&amp;AJ22,tblMealPricesEJUTC[],3,FALSE),"")</f>
        <v/>
      </c>
      <c r="BQ22" s="87" t="str">
        <f>IFERROR(VLOOKUP(HotelTC&amp;", "&amp;AK22,tblMealPricesEJUTC[],3,FALSE),"")</f>
        <v/>
      </c>
      <c r="BR22" s="91">
        <f t="shared" si="3"/>
        <v>0</v>
      </c>
      <c r="BS22" s="91">
        <f t="shared" si="4"/>
        <v>0</v>
      </c>
      <c r="BT22" s="91">
        <f t="shared" si="5"/>
        <v>0</v>
      </c>
      <c r="BU22" s="91">
        <f t="shared" ref="BU22:BU49" si="9">IF(BT22="Coque","Error1",BT22)</f>
        <v>0</v>
      </c>
      <c r="BV22" s="91">
        <f t="shared" si="6"/>
        <v>0</v>
      </c>
      <c r="BW22" s="91">
        <f t="shared" si="7"/>
        <v>0</v>
      </c>
      <c r="BX22" s="91">
        <f t="shared" si="8"/>
        <v>0</v>
      </c>
    </row>
    <row r="23" spans="1:76">
      <c r="A23">
        <v>4</v>
      </c>
      <c r="B23" s="1"/>
      <c r="C23" s="2"/>
      <c r="D23" s="3"/>
      <c r="E23" s="4"/>
      <c r="F23" s="6"/>
      <c r="G23" s="2"/>
      <c r="H23" s="2"/>
      <c r="I23" s="2"/>
      <c r="J23" s="4"/>
      <c r="K23" s="7"/>
      <c r="L23" s="8"/>
      <c r="M23" s="9"/>
      <c r="N23" s="10"/>
      <c r="O23" s="2"/>
      <c r="P23" s="10"/>
      <c r="Q23" s="11"/>
      <c r="R23" s="8"/>
      <c r="S23" s="9"/>
      <c r="T23" s="10"/>
      <c r="U23" s="10"/>
      <c r="V23" s="2"/>
      <c r="W23" s="11"/>
      <c r="X23" s="6"/>
      <c r="Y23" s="5"/>
      <c r="Z23" s="26"/>
      <c r="AA23" s="26"/>
      <c r="AB23" s="26"/>
      <c r="AC23" s="26"/>
      <c r="AD23" s="26"/>
      <c r="AE23" s="26"/>
      <c r="AF23" s="23"/>
      <c r="AG23" s="23"/>
      <c r="AH23" s="23"/>
      <c r="AI23" s="23"/>
      <c r="AJ23" s="23"/>
      <c r="AK23" s="23"/>
      <c r="AL23" s="86" t="str">
        <f t="shared" si="0"/>
        <v/>
      </c>
      <c r="AM23" s="87">
        <f>IFERROR(IF(AND(VLOOKUP(D23,tblWeightOrFunction[],6,FALSE)=Parameters!$F$3,L23&lt;$AC$19,NOT(VLOOKUP(D23,tblWeightOrFunction[],4,FALSE)=Parameters!$D$3)),20,0),0)</f>
        <v>0</v>
      </c>
      <c r="AN23" s="27">
        <f>IFERROR(IF(AND(VLOOKUP(D23,tblWeightOrFunction[],6,FALSE)=Parameters!$F$3,R23&gt;$AE$19),1,0),0)</f>
        <v>0</v>
      </c>
      <c r="AO23" s="87">
        <f>IF(AN23=1,IF(ContFede=Parameters!EJU,30,100),0)</f>
        <v>0</v>
      </c>
      <c r="AP23" s="87">
        <f t="shared" si="1"/>
        <v>0</v>
      </c>
      <c r="AQ23" s="87">
        <f t="shared" si="2"/>
        <v>0</v>
      </c>
      <c r="AR23" s="87" t="str">
        <f>IFERROR(VLOOKUP(Z23,tblRoomPricesSunday[],4,FALSE),"")</f>
        <v/>
      </c>
      <c r="AS23" s="87" t="str">
        <f>IFERROR(VLOOKUP(AA23,tblRoomPricesSunday[],4,FALSE),"")</f>
        <v/>
      </c>
      <c r="AT23" s="87" t="str">
        <f>IFERROR(VLOOKUP(AB23,tblRoomPricesSunday[],4,FALSE),"")</f>
        <v/>
      </c>
      <c r="AU23" s="87" t="str">
        <f>IFERROR(VLOOKUP(AC23,tblRoomPricesSunday[],4,FALSE),"")</f>
        <v/>
      </c>
      <c r="AV23" s="87" t="str">
        <f>IFERROR(VLOOKUP(AD23,tblRoomPricesSunday[],4,FALSE),"")</f>
        <v/>
      </c>
      <c r="AW23" s="92" t="str">
        <f>IFERROR(VLOOKUP(AE23,tblRoomPricesSunday[],4,FALSE),"")</f>
        <v/>
      </c>
      <c r="AX23" s="87" t="str">
        <f>IFERROR(VLOOKUP(HotelEJO&amp;", "&amp;AF23,tblMealPricesEJO[],4,FALSE),"")</f>
        <v/>
      </c>
      <c r="AY23" s="87" t="str">
        <f>IFERROR(VLOOKUP(HotelEJO&amp;", "&amp;AG23,tblMealPricesEJO[],4,FALSE),"")</f>
        <v/>
      </c>
      <c r="AZ23" s="87" t="str">
        <f>IFERROR(VLOOKUP(HotelEJO&amp;", "&amp;AH23,tblMealPricesEJO[],4,FALSE),"")</f>
        <v/>
      </c>
      <c r="BA23" s="87" t="str">
        <f>IFERROR(IF(L23&lt;$AC$19,VLOOKUP(BT23&amp;", "&amp;AI23,tblMealPricesEJO[],4,FALSE),""),"")</f>
        <v/>
      </c>
      <c r="BB23" s="87" t="str">
        <f>IFERROR(IF(L23&lt;$AC$19,"",VLOOKUP(BT23&amp;", "&amp;AI23,tblMealPricesEJUTC[],4,FALSE)),"")</f>
        <v/>
      </c>
      <c r="BC23" s="87" t="str">
        <f>IFERROR(VLOOKUP(HotelTC&amp;", "&amp;AJ23,tblMealPricesEJUTC[],4,FALSE),"")</f>
        <v/>
      </c>
      <c r="BD23" s="87" t="str">
        <f>IFERROR(VLOOKUP(HotelTC&amp;", "&amp;AK23,tblMealPricesEJUTC[],4,FALSE),"")</f>
        <v/>
      </c>
      <c r="BE23" s="93" t="str">
        <f>IFERROR(VLOOKUP(Z23,tblRoomPricesSunday[],2,FALSE),"")</f>
        <v/>
      </c>
      <c r="BF23" s="27" t="str">
        <f>IFERROR(VLOOKUP(AA23,tblRoomPricesSunday[],2,FALSE),"")</f>
        <v/>
      </c>
      <c r="BG23" s="27" t="str">
        <f>IFERROR(VLOOKUP(AB23,tblRoomPricesSunday[],2,FALSE),"")</f>
        <v/>
      </c>
      <c r="BH23" s="27" t="str">
        <f>IFERROR(VLOOKUP(AC23,tblRoomPricesSunday[],2,FALSE),"")</f>
        <v/>
      </c>
      <c r="BI23" s="27" t="str">
        <f>IFERROR(VLOOKUP(AD23,tblRoomPricesSunday[],2,FALSE),"")</f>
        <v/>
      </c>
      <c r="BJ23" s="94" t="str">
        <f>IFERROR(VLOOKUP(AE23,tblRoomPricesSunday[],2,FALSE),"")</f>
        <v/>
      </c>
      <c r="BK23" s="87" t="str">
        <f>IFERROR(VLOOKUP(HotelEJO&amp;", "&amp;AF23,tblMealPricesEJO[],3,FALSE),"")</f>
        <v/>
      </c>
      <c r="BL23" s="87" t="str">
        <f>IFERROR(VLOOKUP(HotelEJO&amp;", "&amp;AG23,tblMealPricesEJO[],3,FALSE),"")</f>
        <v/>
      </c>
      <c r="BM23" s="87" t="str">
        <f>IFERROR(VLOOKUP(HotelEJO&amp;", "&amp;AH23,tblMealPricesEJO[],3,FALSE),"")</f>
        <v/>
      </c>
      <c r="BN23" s="87" t="str">
        <f>IFERROR(IF(L23&lt;$AC$19,VLOOKUP(BT23&amp;", "&amp;AI23,tblMealPricesEJO[],3,FALSE),""),"")</f>
        <v/>
      </c>
      <c r="BO23" s="87" t="str">
        <f>IFERROR(IF(L23&lt;$AC$19,"",VLOOKUP(BT23&amp;", "&amp;AI23,tblMealPricesEJUTC[],3,FALSE)),"")</f>
        <v/>
      </c>
      <c r="BP23" s="87" t="str">
        <f>IFERROR(VLOOKUP(HotelTC&amp;", "&amp;AJ23,tblMealPricesEJUTC[],3,FALSE),"")</f>
        <v/>
      </c>
      <c r="BQ23" s="87" t="str">
        <f>IFERROR(VLOOKUP(HotelTC&amp;", "&amp;AK23,tblMealPricesEJUTC[],3,FALSE),"")</f>
        <v/>
      </c>
      <c r="BR23" s="91">
        <f t="shared" si="3"/>
        <v>0</v>
      </c>
      <c r="BS23" s="91">
        <f t="shared" si="4"/>
        <v>0</v>
      </c>
      <c r="BT23" s="91">
        <f t="shared" si="5"/>
        <v>0</v>
      </c>
      <c r="BU23" s="91">
        <f t="shared" si="9"/>
        <v>0</v>
      </c>
      <c r="BV23" s="91">
        <f t="shared" si="6"/>
        <v>0</v>
      </c>
      <c r="BW23" s="91">
        <f t="shared" si="7"/>
        <v>0</v>
      </c>
      <c r="BX23" s="91">
        <f t="shared" si="8"/>
        <v>0</v>
      </c>
    </row>
    <row r="24" spans="1:76">
      <c r="A24">
        <v>5</v>
      </c>
      <c r="B24" s="1"/>
      <c r="C24" s="2"/>
      <c r="D24" s="3"/>
      <c r="E24" s="4"/>
      <c r="F24" s="6"/>
      <c r="G24" s="2"/>
      <c r="H24" s="2"/>
      <c r="I24" s="2"/>
      <c r="J24" s="4"/>
      <c r="K24" s="7"/>
      <c r="L24" s="8"/>
      <c r="M24" s="9"/>
      <c r="N24" s="10"/>
      <c r="O24" s="2"/>
      <c r="P24" s="10"/>
      <c r="Q24" s="11"/>
      <c r="R24" s="8"/>
      <c r="S24" s="9"/>
      <c r="T24" s="10"/>
      <c r="U24" s="10"/>
      <c r="V24" s="2"/>
      <c r="W24" s="11"/>
      <c r="X24" s="6"/>
      <c r="Y24" s="5"/>
      <c r="Z24" s="26"/>
      <c r="AA24" s="26"/>
      <c r="AB24" s="26"/>
      <c r="AC24" s="26"/>
      <c r="AD24" s="26"/>
      <c r="AE24" s="26"/>
      <c r="AF24" s="23"/>
      <c r="AG24" s="23"/>
      <c r="AH24" s="23"/>
      <c r="AI24" s="23"/>
      <c r="AJ24" s="23"/>
      <c r="AK24" s="23"/>
      <c r="AL24" s="86" t="str">
        <f t="shared" si="0"/>
        <v/>
      </c>
      <c r="AM24" s="87">
        <f>IFERROR(IF(AND(VLOOKUP(D24,tblWeightOrFunction[],6,FALSE)=Parameters!$F$3,L24&lt;$AC$19,NOT(VLOOKUP(D24,tblWeightOrFunction[],4,FALSE)=Parameters!$D$3)),20,0),0)</f>
        <v>0</v>
      </c>
      <c r="AN24" s="27">
        <f>IFERROR(IF(AND(VLOOKUP(D24,tblWeightOrFunction[],6,FALSE)=Parameters!$F$3,R24&gt;$AE$19),1,0),0)</f>
        <v>0</v>
      </c>
      <c r="AO24" s="87">
        <f>IF(AN24=1,IF(ContFede=Parameters!EJU,30,100),0)</f>
        <v>0</v>
      </c>
      <c r="AP24" s="87">
        <f t="shared" si="1"/>
        <v>0</v>
      </c>
      <c r="AQ24" s="87">
        <f t="shared" si="2"/>
        <v>0</v>
      </c>
      <c r="AR24" s="87" t="str">
        <f>IFERROR(VLOOKUP(Z24,tblRoomPricesSunday[],4,FALSE),"")</f>
        <v/>
      </c>
      <c r="AS24" s="87" t="str">
        <f>IFERROR(VLOOKUP(AA24,tblRoomPricesSunday[],4,FALSE),"")</f>
        <v/>
      </c>
      <c r="AT24" s="87" t="str">
        <f>IFERROR(VLOOKUP(AB24,tblRoomPricesSunday[],4,FALSE),"")</f>
        <v/>
      </c>
      <c r="AU24" s="87" t="str">
        <f>IFERROR(VLOOKUP(AC24,tblRoomPricesSunday[],4,FALSE),"")</f>
        <v/>
      </c>
      <c r="AV24" s="87" t="str">
        <f>IFERROR(VLOOKUP(AD24,tblRoomPricesSunday[],4,FALSE),"")</f>
        <v/>
      </c>
      <c r="AW24" s="92" t="str">
        <f>IFERROR(VLOOKUP(AE24,tblRoomPricesSunday[],4,FALSE),"")</f>
        <v/>
      </c>
      <c r="AX24" s="87" t="str">
        <f>IFERROR(VLOOKUP(HotelEJO&amp;", "&amp;AF24,tblMealPricesEJO[],4,FALSE),"")</f>
        <v/>
      </c>
      <c r="AY24" s="87" t="str">
        <f>IFERROR(VLOOKUP(HotelEJO&amp;", "&amp;AG24,tblMealPricesEJO[],4,FALSE),"")</f>
        <v/>
      </c>
      <c r="AZ24" s="87" t="str">
        <f>IFERROR(VLOOKUP(HotelEJO&amp;", "&amp;AH24,tblMealPricesEJO[],4,FALSE),"")</f>
        <v/>
      </c>
      <c r="BA24" s="87" t="str">
        <f>IFERROR(IF(L24&lt;$AC$19,VLOOKUP(BT24&amp;", "&amp;AI24,tblMealPricesEJO[],4,FALSE),""),"")</f>
        <v/>
      </c>
      <c r="BB24" s="87" t="str">
        <f>IFERROR(IF(L24&lt;$AC$19,"",VLOOKUP(BT24&amp;", "&amp;AI24,tblMealPricesEJUTC[],4,FALSE)),"")</f>
        <v/>
      </c>
      <c r="BC24" s="87" t="str">
        <f>IFERROR(VLOOKUP(HotelTC&amp;", "&amp;AJ24,tblMealPricesEJUTC[],4,FALSE),"")</f>
        <v/>
      </c>
      <c r="BD24" s="87" t="str">
        <f>IFERROR(VLOOKUP(HotelTC&amp;", "&amp;AK24,tblMealPricesEJUTC[],4,FALSE),"")</f>
        <v/>
      </c>
      <c r="BE24" s="93" t="str">
        <f>IFERROR(VLOOKUP(Z24,tblRoomPricesSunday[],2,FALSE),"")</f>
        <v/>
      </c>
      <c r="BF24" s="27" t="str">
        <f>IFERROR(VLOOKUP(AA24,tblRoomPricesSunday[],2,FALSE),"")</f>
        <v/>
      </c>
      <c r="BG24" s="27" t="str">
        <f>IFERROR(VLOOKUP(AB24,tblRoomPricesSunday[],2,FALSE),"")</f>
        <v/>
      </c>
      <c r="BH24" s="27" t="str">
        <f>IFERROR(VLOOKUP(AC24,tblRoomPricesSunday[],2,FALSE),"")</f>
        <v/>
      </c>
      <c r="BI24" s="27" t="str">
        <f>IFERROR(VLOOKUP(AD24,tblRoomPricesSunday[],2,FALSE),"")</f>
        <v/>
      </c>
      <c r="BJ24" s="94" t="str">
        <f>IFERROR(VLOOKUP(AE24,tblRoomPricesSunday[],2,FALSE),"")</f>
        <v/>
      </c>
      <c r="BK24" s="87" t="str">
        <f>IFERROR(VLOOKUP(HotelEJO&amp;", "&amp;AF24,tblMealPricesEJO[],3,FALSE),"")</f>
        <v/>
      </c>
      <c r="BL24" s="87" t="str">
        <f>IFERROR(VLOOKUP(HotelEJO&amp;", "&amp;AG24,tblMealPricesEJO[],3,FALSE),"")</f>
        <v/>
      </c>
      <c r="BM24" s="87" t="str">
        <f>IFERROR(VLOOKUP(HotelEJO&amp;", "&amp;AH24,tblMealPricesEJO[],3,FALSE),"")</f>
        <v/>
      </c>
      <c r="BN24" s="87" t="str">
        <f>IFERROR(IF(L24&lt;$AC$19,VLOOKUP(BT24&amp;", "&amp;AI24,tblMealPricesEJO[],3,FALSE),""),"")</f>
        <v/>
      </c>
      <c r="BO24" s="87" t="str">
        <f>IFERROR(IF(L24&lt;$AC$19,"",VLOOKUP(BT24&amp;", "&amp;AI24,tblMealPricesEJUTC[],3,FALSE)),"")</f>
        <v/>
      </c>
      <c r="BP24" s="87" t="str">
        <f>IFERROR(VLOOKUP(HotelTC&amp;", "&amp;AJ24,tblMealPricesEJUTC[],3,FALSE),"")</f>
        <v/>
      </c>
      <c r="BQ24" s="87" t="str">
        <f>IFERROR(VLOOKUP(HotelTC&amp;", "&amp;AK24,tblMealPricesEJUTC[],3,FALSE),"")</f>
        <v/>
      </c>
      <c r="BR24" s="91">
        <f t="shared" si="3"/>
        <v>0</v>
      </c>
      <c r="BS24" s="91">
        <f t="shared" si="4"/>
        <v>0</v>
      </c>
      <c r="BT24" s="91">
        <f t="shared" si="5"/>
        <v>0</v>
      </c>
      <c r="BU24" s="91">
        <f t="shared" si="9"/>
        <v>0</v>
      </c>
      <c r="BV24" s="91">
        <f t="shared" si="6"/>
        <v>0</v>
      </c>
      <c r="BW24" s="91">
        <f t="shared" si="7"/>
        <v>0</v>
      </c>
      <c r="BX24" s="91">
        <f t="shared" si="8"/>
        <v>0</v>
      </c>
    </row>
    <row r="25" spans="1:76">
      <c r="A25">
        <v>6</v>
      </c>
      <c r="B25" s="1"/>
      <c r="C25" s="2"/>
      <c r="D25" s="3"/>
      <c r="E25" s="4"/>
      <c r="F25" s="6"/>
      <c r="G25" s="2"/>
      <c r="H25" s="2"/>
      <c r="I25" s="2"/>
      <c r="J25" s="4"/>
      <c r="K25" s="7"/>
      <c r="L25" s="8"/>
      <c r="M25" s="9"/>
      <c r="N25" s="10"/>
      <c r="O25" s="2"/>
      <c r="P25" s="10"/>
      <c r="Q25" s="11"/>
      <c r="R25" s="8"/>
      <c r="S25" s="9"/>
      <c r="T25" s="10"/>
      <c r="U25" s="10"/>
      <c r="V25" s="2"/>
      <c r="W25" s="11"/>
      <c r="X25" s="6"/>
      <c r="Y25" s="5"/>
      <c r="Z25" s="26"/>
      <c r="AA25" s="26"/>
      <c r="AB25" s="26"/>
      <c r="AC25" s="26"/>
      <c r="AD25" s="26"/>
      <c r="AE25" s="26"/>
      <c r="AF25" s="23"/>
      <c r="AG25" s="23"/>
      <c r="AH25" s="23"/>
      <c r="AI25" s="23"/>
      <c r="AJ25" s="23"/>
      <c r="AK25" s="23"/>
      <c r="AL25" s="86" t="str">
        <f t="shared" si="0"/>
        <v/>
      </c>
      <c r="AM25" s="87">
        <f>IFERROR(IF(AND(VLOOKUP(D25,tblWeightOrFunction[],6,FALSE)=Parameters!$F$3,L25&lt;$AC$19,NOT(VLOOKUP(D25,tblWeightOrFunction[],4,FALSE)=Parameters!$D$3)),20,0),0)</f>
        <v>0</v>
      </c>
      <c r="AN25" s="27">
        <f>IFERROR(IF(AND(VLOOKUP(D25,tblWeightOrFunction[],6,FALSE)=Parameters!$F$3,R25&gt;$AE$19),1,0),0)</f>
        <v>0</v>
      </c>
      <c r="AO25" s="87">
        <f>IF(AN25=1,IF(ContFede=Parameters!EJU,30,100),0)</f>
        <v>0</v>
      </c>
      <c r="AP25" s="87">
        <f t="shared" si="1"/>
        <v>0</v>
      </c>
      <c r="AQ25" s="87">
        <f t="shared" si="2"/>
        <v>0</v>
      </c>
      <c r="AR25" s="87" t="str">
        <f>IFERROR(VLOOKUP(Z25,tblRoomPricesSunday[],4,FALSE),"")</f>
        <v/>
      </c>
      <c r="AS25" s="87" t="str">
        <f>IFERROR(VLOOKUP(AA25,tblRoomPricesSunday[],4,FALSE),"")</f>
        <v/>
      </c>
      <c r="AT25" s="87" t="str">
        <f>IFERROR(VLOOKUP(AB25,tblRoomPricesSunday[],4,FALSE),"")</f>
        <v/>
      </c>
      <c r="AU25" s="87" t="str">
        <f>IFERROR(VLOOKUP(AC25,tblRoomPricesSunday[],4,FALSE),"")</f>
        <v/>
      </c>
      <c r="AV25" s="87" t="str">
        <f>IFERROR(VLOOKUP(AD25,tblRoomPricesSunday[],4,FALSE),"")</f>
        <v/>
      </c>
      <c r="AW25" s="92" t="str">
        <f>IFERROR(VLOOKUP(AE25,tblRoomPricesSunday[],4,FALSE),"")</f>
        <v/>
      </c>
      <c r="AX25" s="87" t="str">
        <f>IFERROR(VLOOKUP(HotelEJO&amp;", "&amp;AF25,tblMealPricesEJO[],4,FALSE),"")</f>
        <v/>
      </c>
      <c r="AY25" s="87" t="str">
        <f>IFERROR(VLOOKUP(HotelEJO&amp;", "&amp;AG25,tblMealPricesEJO[],4,FALSE),"")</f>
        <v/>
      </c>
      <c r="AZ25" s="87" t="str">
        <f>IFERROR(VLOOKUP(HotelEJO&amp;", "&amp;AH25,tblMealPricesEJO[],4,FALSE),"")</f>
        <v/>
      </c>
      <c r="BA25" s="87" t="str">
        <f>IFERROR(IF(L25&lt;$AC$19,VLOOKUP(BT25&amp;", "&amp;AI25,tblMealPricesEJO[],4,FALSE),""),"")</f>
        <v/>
      </c>
      <c r="BB25" s="87" t="str">
        <f>IFERROR(IF(L25&lt;$AC$19,"",VLOOKUP(BT25&amp;", "&amp;AI25,tblMealPricesEJUTC[],4,FALSE)),"")</f>
        <v/>
      </c>
      <c r="BC25" s="87" t="str">
        <f>IFERROR(VLOOKUP(HotelTC&amp;", "&amp;AJ25,tblMealPricesEJUTC[],4,FALSE),"")</f>
        <v/>
      </c>
      <c r="BD25" s="87" t="str">
        <f>IFERROR(VLOOKUP(HotelTC&amp;", "&amp;AK25,tblMealPricesEJUTC[],4,FALSE),"")</f>
        <v/>
      </c>
      <c r="BE25" s="93" t="str">
        <f>IFERROR(VLOOKUP(Z25,tblRoomPricesSunday[],2,FALSE),"")</f>
        <v/>
      </c>
      <c r="BF25" s="27" t="str">
        <f>IFERROR(VLOOKUP(AA25,tblRoomPricesSunday[],2,FALSE),"")</f>
        <v/>
      </c>
      <c r="BG25" s="27" t="str">
        <f>IFERROR(VLOOKUP(AB25,tblRoomPricesSunday[],2,FALSE),"")</f>
        <v/>
      </c>
      <c r="BH25" s="27" t="str">
        <f>IFERROR(VLOOKUP(AC25,tblRoomPricesSunday[],2,FALSE),"")</f>
        <v/>
      </c>
      <c r="BI25" s="27" t="str">
        <f>IFERROR(VLOOKUP(AD25,tblRoomPricesSunday[],2,FALSE),"")</f>
        <v/>
      </c>
      <c r="BJ25" s="94" t="str">
        <f>IFERROR(VLOOKUP(AE25,tblRoomPricesSunday[],2,FALSE),"")</f>
        <v/>
      </c>
      <c r="BK25" s="87" t="str">
        <f>IFERROR(VLOOKUP(HotelEJO&amp;", "&amp;AF25,tblMealPricesEJO[],3,FALSE),"")</f>
        <v/>
      </c>
      <c r="BL25" s="87" t="str">
        <f>IFERROR(VLOOKUP(HotelEJO&amp;", "&amp;AG25,tblMealPricesEJO[],3,FALSE),"")</f>
        <v/>
      </c>
      <c r="BM25" s="87" t="str">
        <f>IFERROR(VLOOKUP(HotelEJO&amp;", "&amp;AH25,tblMealPricesEJO[],3,FALSE),"")</f>
        <v/>
      </c>
      <c r="BN25" s="87" t="str">
        <f>IFERROR(IF(L25&lt;$AC$19,VLOOKUP(BT25&amp;", "&amp;AI25,tblMealPricesEJO[],3,FALSE),""),"")</f>
        <v/>
      </c>
      <c r="BO25" s="87" t="str">
        <f>IFERROR(IF(L25&lt;$AC$19,"",VLOOKUP(BT25&amp;", "&amp;AI25,tblMealPricesEJUTC[],3,FALSE)),"")</f>
        <v/>
      </c>
      <c r="BP25" s="87" t="str">
        <f>IFERROR(VLOOKUP(HotelTC&amp;", "&amp;AJ25,tblMealPricesEJUTC[],3,FALSE),"")</f>
        <v/>
      </c>
      <c r="BQ25" s="87" t="str">
        <f>IFERROR(VLOOKUP(HotelTC&amp;", "&amp;AK25,tblMealPricesEJUTC[],3,FALSE),"")</f>
        <v/>
      </c>
      <c r="BR25" s="91">
        <f t="shared" si="3"/>
        <v>0</v>
      </c>
      <c r="BS25" s="91">
        <f t="shared" si="4"/>
        <v>0</v>
      </c>
      <c r="BT25" s="91">
        <f t="shared" si="5"/>
        <v>0</v>
      </c>
      <c r="BU25" s="91">
        <f t="shared" si="9"/>
        <v>0</v>
      </c>
      <c r="BV25" s="91">
        <f t="shared" si="6"/>
        <v>0</v>
      </c>
      <c r="BW25" s="91">
        <f t="shared" si="7"/>
        <v>0</v>
      </c>
      <c r="BX25" s="91">
        <f t="shared" si="8"/>
        <v>0</v>
      </c>
    </row>
    <row r="26" spans="1:76">
      <c r="A26">
        <v>7</v>
      </c>
      <c r="B26" s="1"/>
      <c r="C26" s="2"/>
      <c r="D26" s="3"/>
      <c r="E26" s="4"/>
      <c r="F26" s="6"/>
      <c r="G26" s="2"/>
      <c r="H26" s="2"/>
      <c r="I26" s="2"/>
      <c r="J26" s="4"/>
      <c r="K26" s="7"/>
      <c r="L26" s="8"/>
      <c r="M26" s="9"/>
      <c r="N26" s="10"/>
      <c r="O26" s="2"/>
      <c r="P26" s="10"/>
      <c r="Q26" s="11"/>
      <c r="R26" s="8"/>
      <c r="S26" s="9"/>
      <c r="T26" s="10"/>
      <c r="U26" s="10"/>
      <c r="V26" s="2"/>
      <c r="W26" s="11"/>
      <c r="X26" s="6"/>
      <c r="Y26" s="5"/>
      <c r="Z26" s="26"/>
      <c r="AA26" s="26"/>
      <c r="AB26" s="26"/>
      <c r="AC26" s="26"/>
      <c r="AD26" s="26"/>
      <c r="AE26" s="26"/>
      <c r="AF26" s="23"/>
      <c r="AG26" s="23"/>
      <c r="AH26" s="23"/>
      <c r="AI26" s="23"/>
      <c r="AJ26" s="23"/>
      <c r="AK26" s="23"/>
      <c r="AL26" s="86" t="str">
        <f t="shared" si="0"/>
        <v/>
      </c>
      <c r="AM26" s="87">
        <f>IFERROR(IF(AND(VLOOKUP(D26,tblWeightOrFunction[],6,FALSE)=Parameters!$F$3,L26&lt;$AC$19,NOT(VLOOKUP(D26,tblWeightOrFunction[],4,FALSE)=Parameters!$D$3)),20,0),0)</f>
        <v>0</v>
      </c>
      <c r="AN26" s="27">
        <f>IFERROR(IF(AND(VLOOKUP(D26,tblWeightOrFunction[],6,FALSE)=Parameters!$F$3,R26&gt;$AE$19),1,0),0)</f>
        <v>0</v>
      </c>
      <c r="AO26" s="87">
        <f>IF(AN26=1,IF(ContFede=Parameters!EJU,30,100),0)</f>
        <v>0</v>
      </c>
      <c r="AP26" s="87">
        <f t="shared" si="1"/>
        <v>0</v>
      </c>
      <c r="AQ26" s="87">
        <f t="shared" si="2"/>
        <v>0</v>
      </c>
      <c r="AR26" s="87" t="str">
        <f>IFERROR(VLOOKUP(Z26,tblRoomPricesSunday[],4,FALSE),"")</f>
        <v/>
      </c>
      <c r="AS26" s="87" t="str">
        <f>IFERROR(VLOOKUP(AA26,tblRoomPricesSunday[],4,FALSE),"")</f>
        <v/>
      </c>
      <c r="AT26" s="87" t="str">
        <f>IFERROR(VLOOKUP(AB26,tblRoomPricesSunday[],4,FALSE),"")</f>
        <v/>
      </c>
      <c r="AU26" s="87" t="str">
        <f>IFERROR(VLOOKUP(AC26,tblRoomPricesSunday[],4,FALSE),"")</f>
        <v/>
      </c>
      <c r="AV26" s="87" t="str">
        <f>IFERROR(VLOOKUP(AD26,tblRoomPricesSunday[],4,FALSE),"")</f>
        <v/>
      </c>
      <c r="AW26" s="92" t="str">
        <f>IFERROR(VLOOKUP(AE26,tblRoomPricesSunday[],4,FALSE),"")</f>
        <v/>
      </c>
      <c r="AX26" s="87" t="str">
        <f>IFERROR(VLOOKUP(HotelEJO&amp;", "&amp;AF26,tblMealPricesEJO[],4,FALSE),"")</f>
        <v/>
      </c>
      <c r="AY26" s="87" t="str">
        <f>IFERROR(VLOOKUP(HotelEJO&amp;", "&amp;AG26,tblMealPricesEJO[],4,FALSE),"")</f>
        <v/>
      </c>
      <c r="AZ26" s="87" t="str">
        <f>IFERROR(VLOOKUP(HotelEJO&amp;", "&amp;AH26,tblMealPricesEJO[],4,FALSE),"")</f>
        <v/>
      </c>
      <c r="BA26" s="87" t="str">
        <f>IFERROR(IF(L26&lt;$AC$19,VLOOKUP(BT26&amp;", "&amp;AI26,tblMealPricesEJO[],4,FALSE),""),"")</f>
        <v/>
      </c>
      <c r="BB26" s="87" t="str">
        <f>IFERROR(IF(L26&lt;$AC$19,"",VLOOKUP(BT26&amp;", "&amp;AI26,tblMealPricesEJUTC[],4,FALSE)),"")</f>
        <v/>
      </c>
      <c r="BC26" s="87" t="str">
        <f>IFERROR(VLOOKUP(HotelTC&amp;", "&amp;AJ26,tblMealPricesEJUTC[],4,FALSE),"")</f>
        <v/>
      </c>
      <c r="BD26" s="87" t="str">
        <f>IFERROR(VLOOKUP(HotelTC&amp;", "&amp;AK26,tblMealPricesEJUTC[],4,FALSE),"")</f>
        <v/>
      </c>
      <c r="BE26" s="93" t="str">
        <f>IFERROR(VLOOKUP(Z26,tblRoomPricesSunday[],2,FALSE),"")</f>
        <v/>
      </c>
      <c r="BF26" s="27" t="str">
        <f>IFERROR(VLOOKUP(AA26,tblRoomPricesSunday[],2,FALSE),"")</f>
        <v/>
      </c>
      <c r="BG26" s="27" t="str">
        <f>IFERROR(VLOOKUP(AB26,tblRoomPricesSunday[],2,FALSE),"")</f>
        <v/>
      </c>
      <c r="BH26" s="27" t="str">
        <f>IFERROR(VLOOKUP(AC26,tblRoomPricesSunday[],2,FALSE),"")</f>
        <v/>
      </c>
      <c r="BI26" s="27" t="str">
        <f>IFERROR(VLOOKUP(AD26,tblRoomPricesSunday[],2,FALSE),"")</f>
        <v/>
      </c>
      <c r="BJ26" s="94" t="str">
        <f>IFERROR(VLOOKUP(AE26,tblRoomPricesSunday[],2,FALSE),"")</f>
        <v/>
      </c>
      <c r="BK26" s="87" t="str">
        <f>IFERROR(VLOOKUP(HotelEJO&amp;", "&amp;AF26,tblMealPricesEJO[],3,FALSE),"")</f>
        <v/>
      </c>
      <c r="BL26" s="87" t="str">
        <f>IFERROR(VLOOKUP(HotelEJO&amp;", "&amp;AG26,tblMealPricesEJO[],3,FALSE),"")</f>
        <v/>
      </c>
      <c r="BM26" s="87" t="str">
        <f>IFERROR(VLOOKUP(HotelEJO&amp;", "&amp;AH26,tblMealPricesEJO[],3,FALSE),"")</f>
        <v/>
      </c>
      <c r="BN26" s="87" t="str">
        <f>IFERROR(IF(L26&lt;$AC$19,VLOOKUP(BT26&amp;", "&amp;AI26,tblMealPricesEJO[],3,FALSE),""),"")</f>
        <v/>
      </c>
      <c r="BO26" s="87" t="str">
        <f>IFERROR(IF(L26&lt;$AC$19,"",VLOOKUP(BT26&amp;", "&amp;AI26,tblMealPricesEJUTC[],3,FALSE)),"")</f>
        <v/>
      </c>
      <c r="BP26" s="87" t="str">
        <f>IFERROR(VLOOKUP(HotelTC&amp;", "&amp;AJ26,tblMealPricesEJUTC[],3,FALSE),"")</f>
        <v/>
      </c>
      <c r="BQ26" s="87" t="str">
        <f>IFERROR(VLOOKUP(HotelTC&amp;", "&amp;AK26,tblMealPricesEJUTC[],3,FALSE),"")</f>
        <v/>
      </c>
      <c r="BR26" s="91">
        <f t="shared" si="3"/>
        <v>0</v>
      </c>
      <c r="BS26" s="91">
        <f t="shared" si="4"/>
        <v>0</v>
      </c>
      <c r="BT26" s="91">
        <f t="shared" si="5"/>
        <v>0</v>
      </c>
      <c r="BU26" s="91">
        <f t="shared" si="9"/>
        <v>0</v>
      </c>
      <c r="BV26" s="91">
        <f t="shared" si="6"/>
        <v>0</v>
      </c>
      <c r="BW26" s="91">
        <f t="shared" si="7"/>
        <v>0</v>
      </c>
      <c r="BX26" s="91">
        <f t="shared" si="8"/>
        <v>0</v>
      </c>
    </row>
    <row r="27" spans="1:76">
      <c r="A27">
        <v>8</v>
      </c>
      <c r="B27" s="1"/>
      <c r="C27" s="2"/>
      <c r="D27" s="3"/>
      <c r="E27" s="4"/>
      <c r="F27" s="6"/>
      <c r="G27" s="2"/>
      <c r="H27" s="2"/>
      <c r="I27" s="2"/>
      <c r="J27" s="4"/>
      <c r="K27" s="7"/>
      <c r="L27" s="8"/>
      <c r="M27" s="9"/>
      <c r="N27" s="10"/>
      <c r="O27" s="2"/>
      <c r="P27" s="10"/>
      <c r="Q27" s="11"/>
      <c r="R27" s="8"/>
      <c r="S27" s="9"/>
      <c r="T27" s="10"/>
      <c r="U27" s="10"/>
      <c r="V27" s="2"/>
      <c r="W27" s="11"/>
      <c r="X27" s="6"/>
      <c r="Y27" s="5"/>
      <c r="Z27" s="26"/>
      <c r="AA27" s="26"/>
      <c r="AB27" s="26"/>
      <c r="AC27" s="26"/>
      <c r="AD27" s="26"/>
      <c r="AE27" s="26"/>
      <c r="AF27" s="23"/>
      <c r="AG27" s="23"/>
      <c r="AH27" s="23"/>
      <c r="AI27" s="23"/>
      <c r="AJ27" s="23"/>
      <c r="AK27" s="23"/>
      <c r="AL27" s="86" t="str">
        <f t="shared" si="0"/>
        <v/>
      </c>
      <c r="AM27" s="87">
        <f>IFERROR(IF(AND(VLOOKUP(D27,tblWeightOrFunction[],6,FALSE)=Parameters!$F$3,L27&lt;$AC$19,NOT(VLOOKUP(D27,tblWeightOrFunction[],4,FALSE)=Parameters!$D$3)),20,0),0)</f>
        <v>0</v>
      </c>
      <c r="AN27" s="27">
        <f>IFERROR(IF(AND(VLOOKUP(D27,tblWeightOrFunction[],6,FALSE)=Parameters!$F$3,R27&gt;$AE$19),1,0),0)</f>
        <v>0</v>
      </c>
      <c r="AO27" s="87">
        <f>IF(AN27=1,IF(ContFede=Parameters!EJU,30,100),0)</f>
        <v>0</v>
      </c>
      <c r="AP27" s="87">
        <f t="shared" si="1"/>
        <v>0</v>
      </c>
      <c r="AQ27" s="87">
        <f t="shared" si="2"/>
        <v>0</v>
      </c>
      <c r="AR27" s="87" t="str">
        <f>IFERROR(VLOOKUP(Z27,tblRoomPricesSunday[],4,FALSE),"")</f>
        <v/>
      </c>
      <c r="AS27" s="87" t="str">
        <f>IFERROR(VLOOKUP(AA27,tblRoomPricesSunday[],4,FALSE),"")</f>
        <v/>
      </c>
      <c r="AT27" s="87" t="str">
        <f>IFERROR(VLOOKUP(AB27,tblRoomPricesSunday[],4,FALSE),"")</f>
        <v/>
      </c>
      <c r="AU27" s="87" t="str">
        <f>IFERROR(VLOOKUP(AC27,tblRoomPricesSunday[],4,FALSE),"")</f>
        <v/>
      </c>
      <c r="AV27" s="87" t="str">
        <f>IFERROR(VLOOKUP(AD27,tblRoomPricesSunday[],4,FALSE),"")</f>
        <v/>
      </c>
      <c r="AW27" s="92" t="str">
        <f>IFERROR(VLOOKUP(AE27,tblRoomPricesSunday[],4,FALSE),"")</f>
        <v/>
      </c>
      <c r="AX27" s="87" t="str">
        <f>IFERROR(VLOOKUP(HotelEJO&amp;", "&amp;AF27,tblMealPricesEJO[],4,FALSE),"")</f>
        <v/>
      </c>
      <c r="AY27" s="87" t="str">
        <f>IFERROR(VLOOKUP(HotelEJO&amp;", "&amp;AG27,tblMealPricesEJO[],4,FALSE),"")</f>
        <v/>
      </c>
      <c r="AZ27" s="87" t="str">
        <f>IFERROR(VLOOKUP(HotelEJO&amp;", "&amp;AH27,tblMealPricesEJO[],4,FALSE),"")</f>
        <v/>
      </c>
      <c r="BA27" s="87" t="str">
        <f>IFERROR(IF(L27&lt;$AC$19,VLOOKUP(BT27&amp;", "&amp;AI27,tblMealPricesEJO[],4,FALSE),""),"")</f>
        <v/>
      </c>
      <c r="BB27" s="87" t="str">
        <f>IFERROR(IF(L27&lt;$AC$19,"",VLOOKUP(BT27&amp;", "&amp;AI27,tblMealPricesEJUTC[],4,FALSE)),"")</f>
        <v/>
      </c>
      <c r="BC27" s="87" t="str">
        <f>IFERROR(VLOOKUP(HotelTC&amp;", "&amp;AJ27,tblMealPricesEJUTC[],4,FALSE),"")</f>
        <v/>
      </c>
      <c r="BD27" s="87" t="str">
        <f>IFERROR(VLOOKUP(HotelTC&amp;", "&amp;AK27,tblMealPricesEJUTC[],4,FALSE),"")</f>
        <v/>
      </c>
      <c r="BE27" s="93" t="str">
        <f>IFERROR(VLOOKUP(Z27,tblRoomPricesSunday[],2,FALSE),"")</f>
        <v/>
      </c>
      <c r="BF27" s="27" t="str">
        <f>IFERROR(VLOOKUP(AA27,tblRoomPricesSunday[],2,FALSE),"")</f>
        <v/>
      </c>
      <c r="BG27" s="27" t="str">
        <f>IFERROR(VLOOKUP(AB27,tblRoomPricesSunday[],2,FALSE),"")</f>
        <v/>
      </c>
      <c r="BH27" s="27" t="str">
        <f>IFERROR(VLOOKUP(AC27,tblRoomPricesSunday[],2,FALSE),"")</f>
        <v/>
      </c>
      <c r="BI27" s="27" t="str">
        <f>IFERROR(VLOOKUP(AD27,tblRoomPricesSunday[],2,FALSE),"")</f>
        <v/>
      </c>
      <c r="BJ27" s="94" t="str">
        <f>IFERROR(VLOOKUP(AE27,tblRoomPricesSunday[],2,FALSE),"")</f>
        <v/>
      </c>
      <c r="BK27" s="87" t="str">
        <f>IFERROR(VLOOKUP(HotelEJO&amp;", "&amp;AF27,tblMealPricesEJO[],3,FALSE),"")</f>
        <v/>
      </c>
      <c r="BL27" s="87" t="str">
        <f>IFERROR(VLOOKUP(HotelEJO&amp;", "&amp;AG27,tblMealPricesEJO[],3,FALSE),"")</f>
        <v/>
      </c>
      <c r="BM27" s="87" t="str">
        <f>IFERROR(VLOOKUP(HotelEJO&amp;", "&amp;AH27,tblMealPricesEJO[],3,FALSE),"")</f>
        <v/>
      </c>
      <c r="BN27" s="87" t="str">
        <f>IFERROR(IF(L27&lt;$AC$19,VLOOKUP(BT27&amp;", "&amp;AI27,tblMealPricesEJO[],3,FALSE),""),"")</f>
        <v/>
      </c>
      <c r="BO27" s="87" t="str">
        <f>IFERROR(IF(L27&lt;$AC$19,"",VLOOKUP(BT27&amp;", "&amp;AI27,tblMealPricesEJUTC[],3,FALSE)),"")</f>
        <v/>
      </c>
      <c r="BP27" s="87" t="str">
        <f>IFERROR(VLOOKUP(HotelTC&amp;", "&amp;AJ27,tblMealPricesEJUTC[],3,FALSE),"")</f>
        <v/>
      </c>
      <c r="BQ27" s="87" t="str">
        <f>IFERROR(VLOOKUP(HotelTC&amp;", "&amp;AK27,tblMealPricesEJUTC[],3,FALSE),"")</f>
        <v/>
      </c>
      <c r="BR27" s="91">
        <f t="shared" si="3"/>
        <v>0</v>
      </c>
      <c r="BS27" s="91">
        <f t="shared" si="4"/>
        <v>0</v>
      </c>
      <c r="BT27" s="91">
        <f t="shared" si="5"/>
        <v>0</v>
      </c>
      <c r="BU27" s="91">
        <f t="shared" si="9"/>
        <v>0</v>
      </c>
      <c r="BV27" s="91">
        <f t="shared" si="6"/>
        <v>0</v>
      </c>
      <c r="BW27" s="91">
        <f t="shared" si="7"/>
        <v>0</v>
      </c>
      <c r="BX27" s="91">
        <f t="shared" si="8"/>
        <v>0</v>
      </c>
    </row>
    <row r="28" spans="1:76">
      <c r="A28">
        <v>9</v>
      </c>
      <c r="B28" s="1"/>
      <c r="C28" s="2"/>
      <c r="D28" s="3"/>
      <c r="E28" s="4"/>
      <c r="F28" s="6"/>
      <c r="G28" s="2"/>
      <c r="H28" s="2"/>
      <c r="I28" s="2"/>
      <c r="J28" s="4"/>
      <c r="K28" s="7"/>
      <c r="L28" s="8"/>
      <c r="M28" s="9"/>
      <c r="N28" s="10"/>
      <c r="O28" s="2"/>
      <c r="P28" s="10"/>
      <c r="Q28" s="11"/>
      <c r="R28" s="8"/>
      <c r="S28" s="9"/>
      <c r="T28" s="10"/>
      <c r="U28" s="10"/>
      <c r="V28" s="2"/>
      <c r="W28" s="11"/>
      <c r="X28" s="6"/>
      <c r="Y28" s="5"/>
      <c r="Z28" s="26"/>
      <c r="AA28" s="26"/>
      <c r="AB28" s="26"/>
      <c r="AC28" s="26"/>
      <c r="AD28" s="26"/>
      <c r="AE28" s="26"/>
      <c r="AF28" s="23"/>
      <c r="AG28" s="23"/>
      <c r="AH28" s="23"/>
      <c r="AI28" s="23"/>
      <c r="AJ28" s="23"/>
      <c r="AK28" s="23"/>
      <c r="AL28" s="86" t="str">
        <f t="shared" si="0"/>
        <v/>
      </c>
      <c r="AM28" s="87">
        <f>IFERROR(IF(AND(VLOOKUP(D28,tblWeightOrFunction[],6,FALSE)=Parameters!$F$3,L28&lt;$AC$19,NOT(VLOOKUP(D28,tblWeightOrFunction[],4,FALSE)=Parameters!$D$3)),20,0),0)</f>
        <v>0</v>
      </c>
      <c r="AN28" s="27">
        <f>IFERROR(IF(AND(VLOOKUP(D28,tblWeightOrFunction[],6,FALSE)=Parameters!$F$3,R28&gt;$AE$19),1,0),0)</f>
        <v>0</v>
      </c>
      <c r="AO28" s="87">
        <f>IF(AN28=1,IF(ContFede=Parameters!EJU,30,100),0)</f>
        <v>0</v>
      </c>
      <c r="AP28" s="87">
        <f t="shared" si="1"/>
        <v>0</v>
      </c>
      <c r="AQ28" s="87">
        <f t="shared" si="2"/>
        <v>0</v>
      </c>
      <c r="AR28" s="87" t="str">
        <f>IFERROR(VLOOKUP(Z28,tblRoomPricesSunday[],4,FALSE),"")</f>
        <v/>
      </c>
      <c r="AS28" s="87" t="str">
        <f>IFERROR(VLOOKUP(AA28,tblRoomPricesSunday[],4,FALSE),"")</f>
        <v/>
      </c>
      <c r="AT28" s="87" t="str">
        <f>IFERROR(VLOOKUP(AB28,tblRoomPricesSunday[],4,FALSE),"")</f>
        <v/>
      </c>
      <c r="AU28" s="87" t="str">
        <f>IFERROR(VLOOKUP(AC28,tblRoomPricesSunday[],4,FALSE),"")</f>
        <v/>
      </c>
      <c r="AV28" s="87" t="str">
        <f>IFERROR(VLOOKUP(AD28,tblRoomPricesSunday[],4,FALSE),"")</f>
        <v/>
      </c>
      <c r="AW28" s="92" t="str">
        <f>IFERROR(VLOOKUP(AE28,tblRoomPricesSunday[],4,FALSE),"")</f>
        <v/>
      </c>
      <c r="AX28" s="87" t="str">
        <f>IFERROR(VLOOKUP(HotelEJO&amp;", "&amp;AF28,tblMealPricesEJO[],4,FALSE),"")</f>
        <v/>
      </c>
      <c r="AY28" s="87" t="str">
        <f>IFERROR(VLOOKUP(HotelEJO&amp;", "&amp;AG28,tblMealPricesEJO[],4,FALSE),"")</f>
        <v/>
      </c>
      <c r="AZ28" s="87" t="str">
        <f>IFERROR(VLOOKUP(HotelEJO&amp;", "&amp;AH28,tblMealPricesEJO[],4,FALSE),"")</f>
        <v/>
      </c>
      <c r="BA28" s="87" t="str">
        <f>IFERROR(IF(L28&lt;$AC$19,VLOOKUP(BT28&amp;", "&amp;AI28,tblMealPricesEJO[],4,FALSE),""),"")</f>
        <v/>
      </c>
      <c r="BB28" s="87" t="str">
        <f>IFERROR(IF(L28&lt;$AC$19,"",VLOOKUP(BT28&amp;", "&amp;AI28,tblMealPricesEJUTC[],4,FALSE)),"")</f>
        <v/>
      </c>
      <c r="BC28" s="87" t="str">
        <f>IFERROR(VLOOKUP(HotelTC&amp;", "&amp;AJ28,tblMealPricesEJUTC[],4,FALSE),"")</f>
        <v/>
      </c>
      <c r="BD28" s="87" t="str">
        <f>IFERROR(VLOOKUP(HotelTC&amp;", "&amp;AK28,tblMealPricesEJUTC[],4,FALSE),"")</f>
        <v/>
      </c>
      <c r="BE28" s="93" t="str">
        <f>IFERROR(VLOOKUP(Z28,tblRoomPricesSunday[],2,FALSE),"")</f>
        <v/>
      </c>
      <c r="BF28" s="27" t="str">
        <f>IFERROR(VLOOKUP(AA28,tblRoomPricesSunday[],2,FALSE),"")</f>
        <v/>
      </c>
      <c r="BG28" s="27" t="str">
        <f>IFERROR(VLOOKUP(AB28,tblRoomPricesSunday[],2,FALSE),"")</f>
        <v/>
      </c>
      <c r="BH28" s="27" t="str">
        <f>IFERROR(VLOOKUP(AC28,tblRoomPricesSunday[],2,FALSE),"")</f>
        <v/>
      </c>
      <c r="BI28" s="27" t="str">
        <f>IFERROR(VLOOKUP(AD28,tblRoomPricesSunday[],2,FALSE),"")</f>
        <v/>
      </c>
      <c r="BJ28" s="94" t="str">
        <f>IFERROR(VLOOKUP(AE28,tblRoomPricesSunday[],2,FALSE),"")</f>
        <v/>
      </c>
      <c r="BK28" s="87" t="str">
        <f>IFERROR(VLOOKUP(HotelEJO&amp;", "&amp;AF28,tblMealPricesEJO[],3,FALSE),"")</f>
        <v/>
      </c>
      <c r="BL28" s="87" t="str">
        <f>IFERROR(VLOOKUP(HotelEJO&amp;", "&amp;AG28,tblMealPricesEJO[],3,FALSE),"")</f>
        <v/>
      </c>
      <c r="BM28" s="87" t="str">
        <f>IFERROR(VLOOKUP(HotelEJO&amp;", "&amp;AH28,tblMealPricesEJO[],3,FALSE),"")</f>
        <v/>
      </c>
      <c r="BN28" s="87" t="str">
        <f>IFERROR(IF(L28&lt;$AC$19,VLOOKUP(BT28&amp;", "&amp;AI28,tblMealPricesEJO[],3,FALSE),""),"")</f>
        <v/>
      </c>
      <c r="BO28" s="87" t="str">
        <f>IFERROR(IF(L28&lt;$AC$19,"",VLOOKUP(BT28&amp;", "&amp;AI28,tblMealPricesEJUTC[],3,FALSE)),"")</f>
        <v/>
      </c>
      <c r="BP28" s="87" t="str">
        <f>IFERROR(VLOOKUP(HotelTC&amp;", "&amp;AJ28,tblMealPricesEJUTC[],3,FALSE),"")</f>
        <v/>
      </c>
      <c r="BQ28" s="87" t="str">
        <f>IFERROR(VLOOKUP(HotelTC&amp;", "&amp;AK28,tblMealPricesEJUTC[],3,FALSE),"")</f>
        <v/>
      </c>
      <c r="BR28" s="91">
        <f t="shared" si="3"/>
        <v>0</v>
      </c>
      <c r="BS28" s="91">
        <f t="shared" si="4"/>
        <v>0</v>
      </c>
      <c r="BT28" s="91">
        <f t="shared" si="5"/>
        <v>0</v>
      </c>
      <c r="BU28" s="91">
        <f t="shared" si="9"/>
        <v>0</v>
      </c>
      <c r="BV28" s="91">
        <f t="shared" si="6"/>
        <v>0</v>
      </c>
      <c r="BW28" s="91">
        <f t="shared" si="7"/>
        <v>0</v>
      </c>
      <c r="BX28" s="91">
        <f t="shared" si="8"/>
        <v>0</v>
      </c>
    </row>
    <row r="29" spans="1:76">
      <c r="A29">
        <v>10</v>
      </c>
      <c r="B29" s="1"/>
      <c r="C29" s="2"/>
      <c r="D29" s="3"/>
      <c r="E29" s="4"/>
      <c r="F29" s="6"/>
      <c r="G29" s="2"/>
      <c r="H29" s="2"/>
      <c r="I29" s="2"/>
      <c r="J29" s="4"/>
      <c r="K29" s="7"/>
      <c r="L29" s="8"/>
      <c r="M29" s="9"/>
      <c r="N29" s="10"/>
      <c r="O29" s="2"/>
      <c r="P29" s="10"/>
      <c r="Q29" s="11"/>
      <c r="R29" s="8"/>
      <c r="S29" s="9"/>
      <c r="T29" s="10"/>
      <c r="U29" s="10"/>
      <c r="V29" s="2"/>
      <c r="W29" s="11"/>
      <c r="X29" s="6"/>
      <c r="Y29" s="5"/>
      <c r="Z29" s="26"/>
      <c r="AA29" s="26"/>
      <c r="AB29" s="26"/>
      <c r="AC29" s="26"/>
      <c r="AD29" s="26"/>
      <c r="AE29" s="26"/>
      <c r="AF29" s="23"/>
      <c r="AG29" s="23"/>
      <c r="AH29" s="23"/>
      <c r="AI29" s="23"/>
      <c r="AJ29" s="23"/>
      <c r="AK29" s="23"/>
      <c r="AL29" s="86" t="str">
        <f t="shared" si="0"/>
        <v/>
      </c>
      <c r="AM29" s="87">
        <f>IFERROR(IF(AND(VLOOKUP(D29,tblWeightOrFunction[],6,FALSE)=Parameters!$F$3,L29&lt;$AC$19,NOT(VLOOKUP(D29,tblWeightOrFunction[],4,FALSE)=Parameters!$D$3)),20,0),0)</f>
        <v>0</v>
      </c>
      <c r="AN29" s="27">
        <f>IFERROR(IF(AND(VLOOKUP(D29,tblWeightOrFunction[],6,FALSE)=Parameters!$F$3,R29&gt;$AE$19),1,0),0)</f>
        <v>0</v>
      </c>
      <c r="AO29" s="87">
        <f>IF(AN29=1,IF(ContFede=Parameters!EJU,30,100),0)</f>
        <v>0</v>
      </c>
      <c r="AP29" s="87">
        <f t="shared" si="1"/>
        <v>0</v>
      </c>
      <c r="AQ29" s="87">
        <f t="shared" si="2"/>
        <v>0</v>
      </c>
      <c r="AR29" s="87" t="str">
        <f>IFERROR(VLOOKUP(Z29,tblRoomPricesSunday[],4,FALSE),"")</f>
        <v/>
      </c>
      <c r="AS29" s="87" t="str">
        <f>IFERROR(VLOOKUP(AA29,tblRoomPricesSunday[],4,FALSE),"")</f>
        <v/>
      </c>
      <c r="AT29" s="87" t="str">
        <f>IFERROR(VLOOKUP(AB29,tblRoomPricesSunday[],4,FALSE),"")</f>
        <v/>
      </c>
      <c r="AU29" s="87" t="str">
        <f>IFERROR(VLOOKUP(AC29,tblRoomPricesSunday[],4,FALSE),"")</f>
        <v/>
      </c>
      <c r="AV29" s="87" t="str">
        <f>IFERROR(VLOOKUP(AD29,tblRoomPricesSunday[],4,FALSE),"")</f>
        <v/>
      </c>
      <c r="AW29" s="92" t="str">
        <f>IFERROR(VLOOKUP(AE29,tblRoomPricesSunday[],4,FALSE),"")</f>
        <v/>
      </c>
      <c r="AX29" s="87" t="str">
        <f>IFERROR(VLOOKUP(HotelEJO&amp;", "&amp;AF29,tblMealPricesEJO[],4,FALSE),"")</f>
        <v/>
      </c>
      <c r="AY29" s="87" t="str">
        <f>IFERROR(VLOOKUP(HotelEJO&amp;", "&amp;AG29,tblMealPricesEJO[],4,FALSE),"")</f>
        <v/>
      </c>
      <c r="AZ29" s="87" t="str">
        <f>IFERROR(VLOOKUP(HotelEJO&amp;", "&amp;AH29,tblMealPricesEJO[],4,FALSE),"")</f>
        <v/>
      </c>
      <c r="BA29" s="87" t="str">
        <f>IFERROR(IF(L29&lt;$AC$19,VLOOKUP(BT29&amp;", "&amp;AI29,tblMealPricesEJO[],4,FALSE),""),"")</f>
        <v/>
      </c>
      <c r="BB29" s="87" t="str">
        <f>IFERROR(IF(L29&lt;$AC$19,"",VLOOKUP(BT29&amp;", "&amp;AI29,tblMealPricesEJUTC[],4,FALSE)),"")</f>
        <v/>
      </c>
      <c r="BC29" s="87" t="str">
        <f>IFERROR(VLOOKUP(HotelTC&amp;", "&amp;AJ29,tblMealPricesEJUTC[],4,FALSE),"")</f>
        <v/>
      </c>
      <c r="BD29" s="87" t="str">
        <f>IFERROR(VLOOKUP(HotelTC&amp;", "&amp;AK29,tblMealPricesEJUTC[],4,FALSE),"")</f>
        <v/>
      </c>
      <c r="BE29" s="93" t="str">
        <f>IFERROR(VLOOKUP(Z29,tblRoomPricesSunday[],2,FALSE),"")</f>
        <v/>
      </c>
      <c r="BF29" s="27" t="str">
        <f>IFERROR(VLOOKUP(AA29,tblRoomPricesSunday[],2,FALSE),"")</f>
        <v/>
      </c>
      <c r="BG29" s="27" t="str">
        <f>IFERROR(VLOOKUP(AB29,tblRoomPricesSunday[],2,FALSE),"")</f>
        <v/>
      </c>
      <c r="BH29" s="27" t="str">
        <f>IFERROR(VLOOKUP(AC29,tblRoomPricesSunday[],2,FALSE),"")</f>
        <v/>
      </c>
      <c r="BI29" s="27" t="str">
        <f>IFERROR(VLOOKUP(AD29,tblRoomPricesSunday[],2,FALSE),"")</f>
        <v/>
      </c>
      <c r="BJ29" s="94" t="str">
        <f>IFERROR(VLOOKUP(AE29,tblRoomPricesSunday[],2,FALSE),"")</f>
        <v/>
      </c>
      <c r="BK29" s="87" t="str">
        <f>IFERROR(VLOOKUP(HotelEJO&amp;", "&amp;AF29,tblMealPricesEJO[],3,FALSE),"")</f>
        <v/>
      </c>
      <c r="BL29" s="87" t="str">
        <f>IFERROR(VLOOKUP(HotelEJO&amp;", "&amp;AG29,tblMealPricesEJO[],3,FALSE),"")</f>
        <v/>
      </c>
      <c r="BM29" s="87" t="str">
        <f>IFERROR(VLOOKUP(HotelEJO&amp;", "&amp;AH29,tblMealPricesEJO[],3,FALSE),"")</f>
        <v/>
      </c>
      <c r="BN29" s="87" t="str">
        <f>IFERROR(IF(L29&lt;$AC$19,VLOOKUP(BT29&amp;", "&amp;AI29,tblMealPricesEJO[],3,FALSE),""),"")</f>
        <v/>
      </c>
      <c r="BO29" s="87" t="str">
        <f>IFERROR(IF(L29&lt;$AC$19,"",VLOOKUP(BT29&amp;", "&amp;AI29,tblMealPricesEJUTC[],3,FALSE)),"")</f>
        <v/>
      </c>
      <c r="BP29" s="87" t="str">
        <f>IFERROR(VLOOKUP(HotelTC&amp;", "&amp;AJ29,tblMealPricesEJUTC[],3,FALSE),"")</f>
        <v/>
      </c>
      <c r="BQ29" s="87" t="str">
        <f>IFERROR(VLOOKUP(HotelTC&amp;", "&amp;AK29,tblMealPricesEJUTC[],3,FALSE),"")</f>
        <v/>
      </c>
      <c r="BR29" s="91">
        <f t="shared" si="3"/>
        <v>0</v>
      </c>
      <c r="BS29" s="91">
        <f t="shared" si="4"/>
        <v>0</v>
      </c>
      <c r="BT29" s="91">
        <f t="shared" si="5"/>
        <v>0</v>
      </c>
      <c r="BU29" s="91">
        <f t="shared" si="9"/>
        <v>0</v>
      </c>
      <c r="BV29" s="91">
        <f t="shared" si="6"/>
        <v>0</v>
      </c>
      <c r="BW29" s="91">
        <f t="shared" si="7"/>
        <v>0</v>
      </c>
      <c r="BX29" s="91">
        <f t="shared" si="8"/>
        <v>0</v>
      </c>
    </row>
    <row r="30" spans="1:76">
      <c r="A30">
        <v>11</v>
      </c>
      <c r="B30" s="1"/>
      <c r="C30" s="2"/>
      <c r="D30" s="3"/>
      <c r="E30" s="4"/>
      <c r="F30" s="6"/>
      <c r="G30" s="2"/>
      <c r="H30" s="2"/>
      <c r="I30" s="2"/>
      <c r="J30" s="4"/>
      <c r="K30" s="7"/>
      <c r="L30" s="8"/>
      <c r="M30" s="9"/>
      <c r="N30" s="10"/>
      <c r="O30" s="2"/>
      <c r="P30" s="10"/>
      <c r="Q30" s="11"/>
      <c r="R30" s="8"/>
      <c r="S30" s="9"/>
      <c r="T30" s="10"/>
      <c r="U30" s="10"/>
      <c r="V30" s="2"/>
      <c r="W30" s="11"/>
      <c r="X30" s="6"/>
      <c r="Y30" s="5"/>
      <c r="Z30" s="26"/>
      <c r="AA30" s="26"/>
      <c r="AB30" s="26"/>
      <c r="AC30" s="26"/>
      <c r="AD30" s="26"/>
      <c r="AE30" s="26"/>
      <c r="AF30" s="23"/>
      <c r="AG30" s="23"/>
      <c r="AH30" s="23"/>
      <c r="AI30" s="23"/>
      <c r="AJ30" s="23"/>
      <c r="AK30" s="23"/>
      <c r="AL30" s="86" t="str">
        <f t="shared" si="0"/>
        <v/>
      </c>
      <c r="AM30" s="87">
        <f>IFERROR(IF(AND(VLOOKUP(D30,tblWeightOrFunction[],6,FALSE)=Parameters!$F$3,L30&lt;$AC$19,NOT(VLOOKUP(D30,tblWeightOrFunction[],4,FALSE)=Parameters!$D$3)),20,0),0)</f>
        <v>0</v>
      </c>
      <c r="AN30" s="27">
        <f>IFERROR(IF(AND(VLOOKUP(D30,tblWeightOrFunction[],6,FALSE)=Parameters!$F$3,R30&gt;$AE$19),1,0),0)</f>
        <v>0</v>
      </c>
      <c r="AO30" s="87">
        <f>IF(AN30=1,IF(ContFede=Parameters!EJU,30,100),0)</f>
        <v>0</v>
      </c>
      <c r="AP30" s="87">
        <f t="shared" si="1"/>
        <v>0</v>
      </c>
      <c r="AQ30" s="87">
        <f t="shared" si="2"/>
        <v>0</v>
      </c>
      <c r="AR30" s="87" t="str">
        <f>IFERROR(VLOOKUP(Z30,tblRoomPricesSunday[],4,FALSE),"")</f>
        <v/>
      </c>
      <c r="AS30" s="87" t="str">
        <f>IFERROR(VLOOKUP(AA30,tblRoomPricesSunday[],4,FALSE),"")</f>
        <v/>
      </c>
      <c r="AT30" s="87" t="str">
        <f>IFERROR(VLOOKUP(AB30,tblRoomPricesSunday[],4,FALSE),"")</f>
        <v/>
      </c>
      <c r="AU30" s="87" t="str">
        <f>IFERROR(VLOOKUP(AC30,tblRoomPricesSunday[],4,FALSE),"")</f>
        <v/>
      </c>
      <c r="AV30" s="87" t="str">
        <f>IFERROR(VLOOKUP(AD30,tblRoomPricesSunday[],4,FALSE),"")</f>
        <v/>
      </c>
      <c r="AW30" s="92" t="str">
        <f>IFERROR(VLOOKUP(AE30,tblRoomPricesSunday[],4,FALSE),"")</f>
        <v/>
      </c>
      <c r="AX30" s="87" t="str">
        <f>IFERROR(VLOOKUP(HotelEJO&amp;", "&amp;AF30,tblMealPricesEJO[],4,FALSE),"")</f>
        <v/>
      </c>
      <c r="AY30" s="87" t="str">
        <f>IFERROR(VLOOKUP(HotelEJO&amp;", "&amp;AG30,tblMealPricesEJO[],4,FALSE),"")</f>
        <v/>
      </c>
      <c r="AZ30" s="87" t="str">
        <f>IFERROR(VLOOKUP(HotelEJO&amp;", "&amp;AH30,tblMealPricesEJO[],4,FALSE),"")</f>
        <v/>
      </c>
      <c r="BA30" s="87" t="str">
        <f>IFERROR(IF(L30&lt;$AC$19,VLOOKUP(BT30&amp;", "&amp;AI30,tblMealPricesEJO[],4,FALSE),""),"")</f>
        <v/>
      </c>
      <c r="BB30" s="87" t="str">
        <f>IFERROR(IF(L30&lt;$AC$19,"",VLOOKUP(BT30&amp;", "&amp;AI30,tblMealPricesEJUTC[],4,FALSE)),"")</f>
        <v/>
      </c>
      <c r="BC30" s="87" t="str">
        <f>IFERROR(VLOOKUP(HotelTC&amp;", "&amp;AJ30,tblMealPricesEJUTC[],4,FALSE),"")</f>
        <v/>
      </c>
      <c r="BD30" s="87" t="str">
        <f>IFERROR(VLOOKUP(HotelTC&amp;", "&amp;AK30,tblMealPricesEJUTC[],4,FALSE),"")</f>
        <v/>
      </c>
      <c r="BE30" s="93" t="str">
        <f>IFERROR(VLOOKUP(Z30,tblRoomPricesSunday[],2,FALSE),"")</f>
        <v/>
      </c>
      <c r="BF30" s="27" t="str">
        <f>IFERROR(VLOOKUP(AA30,tblRoomPricesSunday[],2,FALSE),"")</f>
        <v/>
      </c>
      <c r="BG30" s="27" t="str">
        <f>IFERROR(VLOOKUP(AB30,tblRoomPricesSunday[],2,FALSE),"")</f>
        <v/>
      </c>
      <c r="BH30" s="27" t="str">
        <f>IFERROR(VLOOKUP(AC30,tblRoomPricesSunday[],2,FALSE),"")</f>
        <v/>
      </c>
      <c r="BI30" s="27" t="str">
        <f>IFERROR(VLOOKUP(AD30,tblRoomPricesSunday[],2,FALSE),"")</f>
        <v/>
      </c>
      <c r="BJ30" s="94" t="str">
        <f>IFERROR(VLOOKUP(AE30,tblRoomPricesSunday[],2,FALSE),"")</f>
        <v/>
      </c>
      <c r="BK30" s="87" t="str">
        <f>IFERROR(VLOOKUP(HotelEJO&amp;", "&amp;AF30,tblMealPricesEJO[],3,FALSE),"")</f>
        <v/>
      </c>
      <c r="BL30" s="87" t="str">
        <f>IFERROR(VLOOKUP(HotelEJO&amp;", "&amp;AG30,tblMealPricesEJO[],3,FALSE),"")</f>
        <v/>
      </c>
      <c r="BM30" s="87" t="str">
        <f>IFERROR(VLOOKUP(HotelEJO&amp;", "&amp;AH30,tblMealPricesEJO[],3,FALSE),"")</f>
        <v/>
      </c>
      <c r="BN30" s="87" t="str">
        <f>IFERROR(IF(L30&lt;$AC$19,VLOOKUP(BT30&amp;", "&amp;AI30,tblMealPricesEJO[],3,FALSE),""),"")</f>
        <v/>
      </c>
      <c r="BO30" s="87" t="str">
        <f>IFERROR(IF(L30&lt;$AC$19,"",VLOOKUP(BT30&amp;", "&amp;AI30,tblMealPricesEJUTC[],3,FALSE)),"")</f>
        <v/>
      </c>
      <c r="BP30" s="87" t="str">
        <f>IFERROR(VLOOKUP(HotelTC&amp;", "&amp;AJ30,tblMealPricesEJUTC[],3,FALSE),"")</f>
        <v/>
      </c>
      <c r="BQ30" s="87" t="str">
        <f>IFERROR(VLOOKUP(HotelTC&amp;", "&amp;AK30,tblMealPricesEJUTC[],3,FALSE),"")</f>
        <v/>
      </c>
      <c r="BR30" s="91">
        <f t="shared" si="3"/>
        <v>0</v>
      </c>
      <c r="BS30" s="91">
        <f t="shared" si="4"/>
        <v>0</v>
      </c>
      <c r="BT30" s="91">
        <f t="shared" si="5"/>
        <v>0</v>
      </c>
      <c r="BU30" s="91">
        <f t="shared" si="9"/>
        <v>0</v>
      </c>
      <c r="BV30" s="91">
        <f t="shared" si="6"/>
        <v>0</v>
      </c>
      <c r="BW30" s="91">
        <f t="shared" si="7"/>
        <v>0</v>
      </c>
      <c r="BX30" s="91">
        <f t="shared" si="8"/>
        <v>0</v>
      </c>
    </row>
    <row r="31" spans="1:76">
      <c r="A31">
        <v>12</v>
      </c>
      <c r="B31" s="1"/>
      <c r="C31" s="2"/>
      <c r="D31" s="3"/>
      <c r="E31" s="4"/>
      <c r="F31" s="6"/>
      <c r="G31" s="2"/>
      <c r="H31" s="2"/>
      <c r="I31" s="2"/>
      <c r="J31" s="4"/>
      <c r="K31" s="7"/>
      <c r="L31" s="8"/>
      <c r="M31" s="9"/>
      <c r="N31" s="10"/>
      <c r="O31" s="2"/>
      <c r="P31" s="10"/>
      <c r="Q31" s="11"/>
      <c r="R31" s="8"/>
      <c r="S31" s="9"/>
      <c r="T31" s="10"/>
      <c r="U31" s="10"/>
      <c r="V31" s="2"/>
      <c r="W31" s="11"/>
      <c r="X31" s="6"/>
      <c r="Y31" s="5"/>
      <c r="Z31" s="26"/>
      <c r="AA31" s="26"/>
      <c r="AB31" s="26"/>
      <c r="AC31" s="26"/>
      <c r="AD31" s="26"/>
      <c r="AE31" s="26"/>
      <c r="AF31" s="23"/>
      <c r="AG31" s="23"/>
      <c r="AH31" s="23"/>
      <c r="AI31" s="23"/>
      <c r="AJ31" s="23"/>
      <c r="AK31" s="23"/>
      <c r="AL31" s="86" t="str">
        <f t="shared" si="0"/>
        <v/>
      </c>
      <c r="AM31" s="87">
        <f>IFERROR(IF(AND(VLOOKUP(D31,tblWeightOrFunction[],6,FALSE)=Parameters!$F$3,L31&lt;$AC$19,NOT(VLOOKUP(D31,tblWeightOrFunction[],4,FALSE)=Parameters!$D$3)),20,0),0)</f>
        <v>0</v>
      </c>
      <c r="AN31" s="27">
        <f>IFERROR(IF(AND(VLOOKUP(D31,tblWeightOrFunction[],6,FALSE)=Parameters!$F$3,R31&gt;$AE$19),1,0),0)</f>
        <v>0</v>
      </c>
      <c r="AO31" s="87">
        <f>IF(AN31=1,IF(ContFede=Parameters!EJU,30,100),0)</f>
        <v>0</v>
      </c>
      <c r="AP31" s="87">
        <f t="shared" si="1"/>
        <v>0</v>
      </c>
      <c r="AQ31" s="87">
        <f t="shared" si="2"/>
        <v>0</v>
      </c>
      <c r="AR31" s="87" t="str">
        <f>IFERROR(VLOOKUP(Z31,tblRoomPricesSunday[],4,FALSE),"")</f>
        <v/>
      </c>
      <c r="AS31" s="87" t="str">
        <f>IFERROR(VLOOKUP(AA31,tblRoomPricesSunday[],4,FALSE),"")</f>
        <v/>
      </c>
      <c r="AT31" s="87" t="str">
        <f>IFERROR(VLOOKUP(AB31,tblRoomPricesSunday[],4,FALSE),"")</f>
        <v/>
      </c>
      <c r="AU31" s="87" t="str">
        <f>IFERROR(VLOOKUP(AC31,tblRoomPricesSunday[],4,FALSE),"")</f>
        <v/>
      </c>
      <c r="AV31" s="87" t="str">
        <f>IFERROR(VLOOKUP(AD31,tblRoomPricesSunday[],4,FALSE),"")</f>
        <v/>
      </c>
      <c r="AW31" s="92" t="str">
        <f>IFERROR(VLOOKUP(AE31,tblRoomPricesSunday[],4,FALSE),"")</f>
        <v/>
      </c>
      <c r="AX31" s="87" t="str">
        <f>IFERROR(VLOOKUP(HotelEJO&amp;", "&amp;AF31,tblMealPricesEJO[],4,FALSE),"")</f>
        <v/>
      </c>
      <c r="AY31" s="87" t="str">
        <f>IFERROR(VLOOKUP(HotelEJO&amp;", "&amp;AG31,tblMealPricesEJO[],4,FALSE),"")</f>
        <v/>
      </c>
      <c r="AZ31" s="87" t="str">
        <f>IFERROR(VLOOKUP(HotelEJO&amp;", "&amp;AH31,tblMealPricesEJO[],4,FALSE),"")</f>
        <v/>
      </c>
      <c r="BA31" s="87" t="str">
        <f>IFERROR(IF(L31&lt;$AC$19,VLOOKUP(BT31&amp;", "&amp;AI31,tblMealPricesEJO[],4,FALSE),""),"")</f>
        <v/>
      </c>
      <c r="BB31" s="87" t="str">
        <f>IFERROR(IF(L31&lt;$AC$19,"",VLOOKUP(BT31&amp;", "&amp;AI31,tblMealPricesEJUTC[],4,FALSE)),"")</f>
        <v/>
      </c>
      <c r="BC31" s="87" t="str">
        <f>IFERROR(VLOOKUP(HotelTC&amp;", "&amp;AJ31,tblMealPricesEJUTC[],4,FALSE),"")</f>
        <v/>
      </c>
      <c r="BD31" s="87" t="str">
        <f>IFERROR(VLOOKUP(HotelTC&amp;", "&amp;AK31,tblMealPricesEJUTC[],4,FALSE),"")</f>
        <v/>
      </c>
      <c r="BE31" s="93" t="str">
        <f>IFERROR(VLOOKUP(Z31,tblRoomPricesSunday[],2,FALSE),"")</f>
        <v/>
      </c>
      <c r="BF31" s="27" t="str">
        <f>IFERROR(VLOOKUP(AA31,tblRoomPricesSunday[],2,FALSE),"")</f>
        <v/>
      </c>
      <c r="BG31" s="27" t="str">
        <f>IFERROR(VLOOKUP(AB31,tblRoomPricesSunday[],2,FALSE),"")</f>
        <v/>
      </c>
      <c r="BH31" s="27" t="str">
        <f>IFERROR(VLOOKUP(AC31,tblRoomPricesSunday[],2,FALSE),"")</f>
        <v/>
      </c>
      <c r="BI31" s="27" t="str">
        <f>IFERROR(VLOOKUP(AD31,tblRoomPricesSunday[],2,FALSE),"")</f>
        <v/>
      </c>
      <c r="BJ31" s="94" t="str">
        <f>IFERROR(VLOOKUP(AE31,tblRoomPricesSunday[],2,FALSE),"")</f>
        <v/>
      </c>
      <c r="BK31" s="87" t="str">
        <f>IFERROR(VLOOKUP(HotelEJO&amp;", "&amp;AF31,tblMealPricesEJO[],3,FALSE),"")</f>
        <v/>
      </c>
      <c r="BL31" s="87" t="str">
        <f>IFERROR(VLOOKUP(HotelEJO&amp;", "&amp;AG31,tblMealPricesEJO[],3,FALSE),"")</f>
        <v/>
      </c>
      <c r="BM31" s="87" t="str">
        <f>IFERROR(VLOOKUP(HotelEJO&amp;", "&amp;AH31,tblMealPricesEJO[],3,FALSE),"")</f>
        <v/>
      </c>
      <c r="BN31" s="87" t="str">
        <f>IFERROR(IF(L31&lt;$AC$19,VLOOKUP(BT31&amp;", "&amp;AI31,tblMealPricesEJO[],3,FALSE),""),"")</f>
        <v/>
      </c>
      <c r="BO31" s="87" t="str">
        <f>IFERROR(IF(L31&lt;$AC$19,"",VLOOKUP(BT31&amp;", "&amp;AI31,tblMealPricesEJUTC[],3,FALSE)),"")</f>
        <v/>
      </c>
      <c r="BP31" s="87" t="str">
        <f>IFERROR(VLOOKUP(HotelTC&amp;", "&amp;AJ31,tblMealPricesEJUTC[],3,FALSE),"")</f>
        <v/>
      </c>
      <c r="BQ31" s="87" t="str">
        <f>IFERROR(VLOOKUP(HotelTC&amp;", "&amp;AK31,tblMealPricesEJUTC[],3,FALSE),"")</f>
        <v/>
      </c>
      <c r="BR31" s="91">
        <f t="shared" si="3"/>
        <v>0</v>
      </c>
      <c r="BS31" s="91">
        <f t="shared" si="4"/>
        <v>0</v>
      </c>
      <c r="BT31" s="91">
        <f t="shared" si="5"/>
        <v>0</v>
      </c>
      <c r="BU31" s="91">
        <f t="shared" si="9"/>
        <v>0</v>
      </c>
      <c r="BV31" s="91">
        <f t="shared" si="6"/>
        <v>0</v>
      </c>
      <c r="BW31" s="91">
        <f t="shared" si="7"/>
        <v>0</v>
      </c>
      <c r="BX31" s="91">
        <f t="shared" si="8"/>
        <v>0</v>
      </c>
    </row>
    <row r="32" spans="1:76">
      <c r="A32">
        <v>13</v>
      </c>
      <c r="B32" s="1"/>
      <c r="C32" s="2"/>
      <c r="D32" s="3"/>
      <c r="E32" s="4"/>
      <c r="F32" s="6"/>
      <c r="G32" s="2"/>
      <c r="H32" s="2"/>
      <c r="I32" s="2"/>
      <c r="J32" s="4"/>
      <c r="K32" s="7"/>
      <c r="L32" s="8"/>
      <c r="M32" s="9"/>
      <c r="N32" s="10"/>
      <c r="O32" s="2"/>
      <c r="P32" s="10"/>
      <c r="Q32" s="11"/>
      <c r="R32" s="8"/>
      <c r="S32" s="9"/>
      <c r="T32" s="10"/>
      <c r="U32" s="10"/>
      <c r="V32" s="2"/>
      <c r="W32" s="11"/>
      <c r="X32" s="6"/>
      <c r="Y32" s="5"/>
      <c r="Z32" s="26"/>
      <c r="AA32" s="26"/>
      <c r="AB32" s="26"/>
      <c r="AC32" s="26"/>
      <c r="AD32" s="26"/>
      <c r="AE32" s="26"/>
      <c r="AF32" s="23"/>
      <c r="AG32" s="23"/>
      <c r="AH32" s="23"/>
      <c r="AI32" s="23"/>
      <c r="AJ32" s="23"/>
      <c r="AK32" s="23"/>
      <c r="AL32" s="86" t="str">
        <f t="shared" si="0"/>
        <v/>
      </c>
      <c r="AM32" s="87">
        <f>IFERROR(IF(AND(VLOOKUP(D32,tblWeightOrFunction[],6,FALSE)=Parameters!$F$3,L32&lt;$AC$19,NOT(VLOOKUP(D32,tblWeightOrFunction[],4,FALSE)=Parameters!$D$3)),20,0),0)</f>
        <v>0</v>
      </c>
      <c r="AN32" s="27">
        <f>IFERROR(IF(AND(VLOOKUP(D32,tblWeightOrFunction[],6,FALSE)=Parameters!$F$3,R32&gt;$AE$19),1,0),0)</f>
        <v>0</v>
      </c>
      <c r="AO32" s="87">
        <f>IF(AN32=1,IF(ContFede=Parameters!EJU,30,100),0)</f>
        <v>0</v>
      </c>
      <c r="AP32" s="87">
        <f t="shared" si="1"/>
        <v>0</v>
      </c>
      <c r="AQ32" s="87">
        <f t="shared" si="2"/>
        <v>0</v>
      </c>
      <c r="AR32" s="87" t="str">
        <f>IFERROR(VLOOKUP(Z32,tblRoomPricesSunday[],4,FALSE),"")</f>
        <v/>
      </c>
      <c r="AS32" s="87" t="str">
        <f>IFERROR(VLOOKUP(AA32,tblRoomPricesSunday[],4,FALSE),"")</f>
        <v/>
      </c>
      <c r="AT32" s="87" t="str">
        <f>IFERROR(VLOOKUP(AB32,tblRoomPricesSunday[],4,FALSE),"")</f>
        <v/>
      </c>
      <c r="AU32" s="87" t="str">
        <f>IFERROR(VLOOKUP(AC32,tblRoomPricesSunday[],4,FALSE),"")</f>
        <v/>
      </c>
      <c r="AV32" s="87" t="str">
        <f>IFERROR(VLOOKUP(AD32,tblRoomPricesSunday[],4,FALSE),"")</f>
        <v/>
      </c>
      <c r="AW32" s="92" t="str">
        <f>IFERROR(VLOOKUP(AE32,tblRoomPricesSunday[],4,FALSE),"")</f>
        <v/>
      </c>
      <c r="AX32" s="87" t="str">
        <f>IFERROR(VLOOKUP(HotelEJO&amp;", "&amp;AF32,tblMealPricesEJO[],4,FALSE),"")</f>
        <v/>
      </c>
      <c r="AY32" s="87" t="str">
        <f>IFERROR(VLOOKUP(HotelEJO&amp;", "&amp;AG32,tblMealPricesEJO[],4,FALSE),"")</f>
        <v/>
      </c>
      <c r="AZ32" s="87" t="str">
        <f>IFERROR(VLOOKUP(HotelEJO&amp;", "&amp;AH32,tblMealPricesEJO[],4,FALSE),"")</f>
        <v/>
      </c>
      <c r="BA32" s="87" t="str">
        <f>IFERROR(IF(L32&lt;$AC$19,VLOOKUP(BT32&amp;", "&amp;AI32,tblMealPricesEJO[],4,FALSE),""),"")</f>
        <v/>
      </c>
      <c r="BB32" s="87" t="str">
        <f>IFERROR(IF(L32&lt;$AC$19,"",VLOOKUP(BT32&amp;", "&amp;AI32,tblMealPricesEJUTC[],4,FALSE)),"")</f>
        <v/>
      </c>
      <c r="BC32" s="87" t="str">
        <f>IFERROR(VLOOKUP(HotelTC&amp;", "&amp;AJ32,tblMealPricesEJUTC[],4,FALSE),"")</f>
        <v/>
      </c>
      <c r="BD32" s="87" t="str">
        <f>IFERROR(VLOOKUP(HotelTC&amp;", "&amp;AK32,tblMealPricesEJUTC[],4,FALSE),"")</f>
        <v/>
      </c>
      <c r="BE32" s="93" t="str">
        <f>IFERROR(VLOOKUP(Z32,tblRoomPricesSunday[],2,FALSE),"")</f>
        <v/>
      </c>
      <c r="BF32" s="27" t="str">
        <f>IFERROR(VLOOKUP(AA32,tblRoomPricesSunday[],2,FALSE),"")</f>
        <v/>
      </c>
      <c r="BG32" s="27" t="str">
        <f>IFERROR(VLOOKUP(AB32,tblRoomPricesSunday[],2,FALSE),"")</f>
        <v/>
      </c>
      <c r="BH32" s="27" t="str">
        <f>IFERROR(VLOOKUP(AC32,tblRoomPricesSunday[],2,FALSE),"")</f>
        <v/>
      </c>
      <c r="BI32" s="27" t="str">
        <f>IFERROR(VLOOKUP(AD32,tblRoomPricesSunday[],2,FALSE),"")</f>
        <v/>
      </c>
      <c r="BJ32" s="94" t="str">
        <f>IFERROR(VLOOKUP(AE32,tblRoomPricesSunday[],2,FALSE),"")</f>
        <v/>
      </c>
      <c r="BK32" s="87" t="str">
        <f>IFERROR(VLOOKUP(HotelEJO&amp;", "&amp;AF32,tblMealPricesEJO[],3,FALSE),"")</f>
        <v/>
      </c>
      <c r="BL32" s="87" t="str">
        <f>IFERROR(VLOOKUP(HotelEJO&amp;", "&amp;AG32,tblMealPricesEJO[],3,FALSE),"")</f>
        <v/>
      </c>
      <c r="BM32" s="87" t="str">
        <f>IFERROR(VLOOKUP(HotelEJO&amp;", "&amp;AH32,tblMealPricesEJO[],3,FALSE),"")</f>
        <v/>
      </c>
      <c r="BN32" s="87" t="str">
        <f>IFERROR(IF(L32&lt;$AC$19,VLOOKUP(BT32&amp;", "&amp;AI32,tblMealPricesEJO[],3,FALSE),""),"")</f>
        <v/>
      </c>
      <c r="BO32" s="87" t="str">
        <f>IFERROR(IF(L32&lt;$AC$19,"",VLOOKUP(BT32&amp;", "&amp;AI32,tblMealPricesEJUTC[],3,FALSE)),"")</f>
        <v/>
      </c>
      <c r="BP32" s="87" t="str">
        <f>IFERROR(VLOOKUP(HotelTC&amp;", "&amp;AJ32,tblMealPricesEJUTC[],3,FALSE),"")</f>
        <v/>
      </c>
      <c r="BQ32" s="87" t="str">
        <f>IFERROR(VLOOKUP(HotelTC&amp;", "&amp;AK32,tblMealPricesEJUTC[],3,FALSE),"")</f>
        <v/>
      </c>
      <c r="BR32" s="91">
        <f t="shared" si="3"/>
        <v>0</v>
      </c>
      <c r="BS32" s="91">
        <f t="shared" si="4"/>
        <v>0</v>
      </c>
      <c r="BT32" s="91">
        <f t="shared" si="5"/>
        <v>0</v>
      </c>
      <c r="BU32" s="91">
        <f t="shared" si="9"/>
        <v>0</v>
      </c>
      <c r="BV32" s="91">
        <f t="shared" si="6"/>
        <v>0</v>
      </c>
      <c r="BW32" s="91">
        <f t="shared" si="7"/>
        <v>0</v>
      </c>
      <c r="BX32" s="91">
        <f t="shared" si="8"/>
        <v>0</v>
      </c>
    </row>
    <row r="33" spans="1:76">
      <c r="A33">
        <v>14</v>
      </c>
      <c r="B33" s="1"/>
      <c r="C33" s="2"/>
      <c r="D33" s="3"/>
      <c r="E33" s="4"/>
      <c r="F33" s="6"/>
      <c r="G33" s="2"/>
      <c r="H33" s="2"/>
      <c r="I33" s="2"/>
      <c r="J33" s="4"/>
      <c r="K33" s="7"/>
      <c r="L33" s="8"/>
      <c r="M33" s="9"/>
      <c r="N33" s="10"/>
      <c r="O33" s="2"/>
      <c r="P33" s="10"/>
      <c r="Q33" s="11"/>
      <c r="R33" s="8"/>
      <c r="S33" s="9"/>
      <c r="T33" s="10"/>
      <c r="U33" s="10"/>
      <c r="V33" s="2"/>
      <c r="W33" s="11"/>
      <c r="X33" s="6"/>
      <c r="Y33" s="5"/>
      <c r="Z33" s="26"/>
      <c r="AA33" s="26"/>
      <c r="AB33" s="26"/>
      <c r="AC33" s="26"/>
      <c r="AD33" s="26"/>
      <c r="AE33" s="26"/>
      <c r="AF33" s="23"/>
      <c r="AG33" s="23"/>
      <c r="AH33" s="23"/>
      <c r="AI33" s="23"/>
      <c r="AJ33" s="23"/>
      <c r="AK33" s="23"/>
      <c r="AL33" s="86" t="str">
        <f t="shared" si="0"/>
        <v/>
      </c>
      <c r="AM33" s="87">
        <f>IFERROR(IF(AND(VLOOKUP(D33,tblWeightOrFunction[],6,FALSE)=Parameters!$F$3,L33&lt;$AC$19,NOT(VLOOKUP(D33,tblWeightOrFunction[],4,FALSE)=Parameters!$D$3)),20,0),0)</f>
        <v>0</v>
      </c>
      <c r="AN33" s="27">
        <f>IFERROR(IF(AND(VLOOKUP(D33,tblWeightOrFunction[],6,FALSE)=Parameters!$F$3,R33&gt;$AE$19),1,0),0)</f>
        <v>0</v>
      </c>
      <c r="AO33" s="87">
        <f>IF(AN33=1,IF(ContFede=Parameters!EJU,30,100),0)</f>
        <v>0</v>
      </c>
      <c r="AP33" s="87">
        <f t="shared" si="1"/>
        <v>0</v>
      </c>
      <c r="AQ33" s="87">
        <f t="shared" si="2"/>
        <v>0</v>
      </c>
      <c r="AR33" s="87" t="str">
        <f>IFERROR(VLOOKUP(Z33,tblRoomPricesSunday[],4,FALSE),"")</f>
        <v/>
      </c>
      <c r="AS33" s="87" t="str">
        <f>IFERROR(VLOOKUP(AA33,tblRoomPricesSunday[],4,FALSE),"")</f>
        <v/>
      </c>
      <c r="AT33" s="87" t="str">
        <f>IFERROR(VLOOKUP(AB33,tblRoomPricesSunday[],4,FALSE),"")</f>
        <v/>
      </c>
      <c r="AU33" s="87" t="str">
        <f>IFERROR(VLOOKUP(AC33,tblRoomPricesSunday[],4,FALSE),"")</f>
        <v/>
      </c>
      <c r="AV33" s="87" t="str">
        <f>IFERROR(VLOOKUP(AD33,tblRoomPricesSunday[],4,FALSE),"")</f>
        <v/>
      </c>
      <c r="AW33" s="92" t="str">
        <f>IFERROR(VLOOKUP(AE33,tblRoomPricesSunday[],4,FALSE),"")</f>
        <v/>
      </c>
      <c r="AX33" s="87" t="str">
        <f>IFERROR(VLOOKUP(HotelEJO&amp;", "&amp;AF33,tblMealPricesEJO[],4,FALSE),"")</f>
        <v/>
      </c>
      <c r="AY33" s="87" t="str">
        <f>IFERROR(VLOOKUP(HotelEJO&amp;", "&amp;AG33,tblMealPricesEJO[],4,FALSE),"")</f>
        <v/>
      </c>
      <c r="AZ33" s="87" t="str">
        <f>IFERROR(VLOOKUP(HotelEJO&amp;", "&amp;AH33,tblMealPricesEJO[],4,FALSE),"")</f>
        <v/>
      </c>
      <c r="BA33" s="87" t="str">
        <f>IFERROR(IF(L33&lt;$AC$19,VLOOKUP(BT33&amp;", "&amp;AI33,tblMealPricesEJO[],4,FALSE),""),"")</f>
        <v/>
      </c>
      <c r="BB33" s="87" t="str">
        <f>IFERROR(IF(L33&lt;$AC$19,"",VLOOKUP(BT33&amp;", "&amp;AI33,tblMealPricesEJUTC[],4,FALSE)),"")</f>
        <v/>
      </c>
      <c r="BC33" s="87" t="str">
        <f>IFERROR(VLOOKUP(HotelTC&amp;", "&amp;AJ33,tblMealPricesEJUTC[],4,FALSE),"")</f>
        <v/>
      </c>
      <c r="BD33" s="87" t="str">
        <f>IFERROR(VLOOKUP(HotelTC&amp;", "&amp;AK33,tblMealPricesEJUTC[],4,FALSE),"")</f>
        <v/>
      </c>
      <c r="BE33" s="93" t="str">
        <f>IFERROR(VLOOKUP(Z33,tblRoomPricesSunday[],2,FALSE),"")</f>
        <v/>
      </c>
      <c r="BF33" s="27" t="str">
        <f>IFERROR(VLOOKUP(AA33,tblRoomPricesSunday[],2,FALSE),"")</f>
        <v/>
      </c>
      <c r="BG33" s="27" t="str">
        <f>IFERROR(VLOOKUP(AB33,tblRoomPricesSunday[],2,FALSE),"")</f>
        <v/>
      </c>
      <c r="BH33" s="27" t="str">
        <f>IFERROR(VLOOKUP(AC33,tblRoomPricesSunday[],2,FALSE),"")</f>
        <v/>
      </c>
      <c r="BI33" s="27" t="str">
        <f>IFERROR(VLOOKUP(AD33,tblRoomPricesSunday[],2,FALSE),"")</f>
        <v/>
      </c>
      <c r="BJ33" s="94" t="str">
        <f>IFERROR(VLOOKUP(AE33,tblRoomPricesSunday[],2,FALSE),"")</f>
        <v/>
      </c>
      <c r="BK33" s="87" t="str">
        <f>IFERROR(VLOOKUP(HotelEJO&amp;", "&amp;AF33,tblMealPricesEJO[],3,FALSE),"")</f>
        <v/>
      </c>
      <c r="BL33" s="87" t="str">
        <f>IFERROR(VLOOKUP(HotelEJO&amp;", "&amp;AG33,tblMealPricesEJO[],3,FALSE),"")</f>
        <v/>
      </c>
      <c r="BM33" s="87" t="str">
        <f>IFERROR(VLOOKUP(HotelEJO&amp;", "&amp;AH33,tblMealPricesEJO[],3,FALSE),"")</f>
        <v/>
      </c>
      <c r="BN33" s="87" t="str">
        <f>IFERROR(IF(L33&lt;$AC$19,VLOOKUP(BT33&amp;", "&amp;AI33,tblMealPricesEJO[],3,FALSE),""),"")</f>
        <v/>
      </c>
      <c r="BO33" s="87" t="str">
        <f>IFERROR(IF(L33&lt;$AC$19,"",VLOOKUP(BT33&amp;", "&amp;AI33,tblMealPricesEJUTC[],3,FALSE)),"")</f>
        <v/>
      </c>
      <c r="BP33" s="87" t="str">
        <f>IFERROR(VLOOKUP(HotelTC&amp;", "&amp;AJ33,tblMealPricesEJUTC[],3,FALSE),"")</f>
        <v/>
      </c>
      <c r="BQ33" s="87" t="str">
        <f>IFERROR(VLOOKUP(HotelTC&amp;", "&amp;AK33,tblMealPricesEJUTC[],3,FALSE),"")</f>
        <v/>
      </c>
      <c r="BR33" s="91">
        <f t="shared" si="3"/>
        <v>0</v>
      </c>
      <c r="BS33" s="91">
        <f t="shared" si="4"/>
        <v>0</v>
      </c>
      <c r="BT33" s="91">
        <f t="shared" si="5"/>
        <v>0</v>
      </c>
      <c r="BU33" s="91">
        <f t="shared" si="9"/>
        <v>0</v>
      </c>
      <c r="BV33" s="91">
        <f t="shared" si="6"/>
        <v>0</v>
      </c>
      <c r="BW33" s="91">
        <f t="shared" si="7"/>
        <v>0</v>
      </c>
      <c r="BX33" s="91">
        <f t="shared" si="8"/>
        <v>0</v>
      </c>
    </row>
    <row r="34" spans="1:76">
      <c r="A34">
        <v>15</v>
      </c>
      <c r="B34" s="1"/>
      <c r="C34" s="2"/>
      <c r="D34" s="3"/>
      <c r="E34" s="4"/>
      <c r="F34" s="6"/>
      <c r="G34" s="2"/>
      <c r="H34" s="2"/>
      <c r="I34" s="2"/>
      <c r="J34" s="4"/>
      <c r="K34" s="7"/>
      <c r="L34" s="8"/>
      <c r="M34" s="9"/>
      <c r="N34" s="10"/>
      <c r="O34" s="2"/>
      <c r="P34" s="10"/>
      <c r="Q34" s="11"/>
      <c r="R34" s="8"/>
      <c r="S34" s="9"/>
      <c r="T34" s="10"/>
      <c r="U34" s="10"/>
      <c r="V34" s="2"/>
      <c r="W34" s="11"/>
      <c r="X34" s="6"/>
      <c r="Y34" s="5"/>
      <c r="Z34" s="26"/>
      <c r="AA34" s="26"/>
      <c r="AB34" s="26"/>
      <c r="AC34" s="26"/>
      <c r="AD34" s="26"/>
      <c r="AE34" s="26"/>
      <c r="AF34" s="23"/>
      <c r="AG34" s="23"/>
      <c r="AH34" s="23"/>
      <c r="AI34" s="23"/>
      <c r="AJ34" s="23"/>
      <c r="AK34" s="23"/>
      <c r="AL34" s="86" t="str">
        <f t="shared" si="0"/>
        <v/>
      </c>
      <c r="AM34" s="87">
        <f>IFERROR(IF(AND(VLOOKUP(D34,tblWeightOrFunction[],6,FALSE)=Parameters!$F$3,L34&lt;$AC$19,NOT(VLOOKUP(D34,tblWeightOrFunction[],4,FALSE)=Parameters!$D$3)),20,0),0)</f>
        <v>0</v>
      </c>
      <c r="AN34" s="27">
        <f>IFERROR(IF(AND(VLOOKUP(D34,tblWeightOrFunction[],6,FALSE)=Parameters!$F$3,R34&gt;$AE$19),1,0),0)</f>
        <v>0</v>
      </c>
      <c r="AO34" s="87">
        <f>IF(AN34=1,IF(ContFede=Parameters!EJU,30,100),0)</f>
        <v>0</v>
      </c>
      <c r="AP34" s="87">
        <f t="shared" si="1"/>
        <v>0</v>
      </c>
      <c r="AQ34" s="87">
        <f t="shared" si="2"/>
        <v>0</v>
      </c>
      <c r="AR34" s="87" t="str">
        <f>IFERROR(VLOOKUP(Z34,tblRoomPricesSunday[],4,FALSE),"")</f>
        <v/>
      </c>
      <c r="AS34" s="87" t="str">
        <f>IFERROR(VLOOKUP(AA34,tblRoomPricesSunday[],4,FALSE),"")</f>
        <v/>
      </c>
      <c r="AT34" s="87" t="str">
        <f>IFERROR(VLOOKUP(AB34,tblRoomPricesSunday[],4,FALSE),"")</f>
        <v/>
      </c>
      <c r="AU34" s="87" t="str">
        <f>IFERROR(VLOOKUP(AC34,tblRoomPricesSunday[],4,FALSE),"")</f>
        <v/>
      </c>
      <c r="AV34" s="87" t="str">
        <f>IFERROR(VLOOKUP(AD34,tblRoomPricesSunday[],4,FALSE),"")</f>
        <v/>
      </c>
      <c r="AW34" s="92" t="str">
        <f>IFERROR(VLOOKUP(AE34,tblRoomPricesSunday[],4,FALSE),"")</f>
        <v/>
      </c>
      <c r="AX34" s="87" t="str">
        <f>IFERROR(VLOOKUP(HotelEJO&amp;", "&amp;AF34,tblMealPricesEJO[],4,FALSE),"")</f>
        <v/>
      </c>
      <c r="AY34" s="87" t="str">
        <f>IFERROR(VLOOKUP(HotelEJO&amp;", "&amp;AG34,tblMealPricesEJO[],4,FALSE),"")</f>
        <v/>
      </c>
      <c r="AZ34" s="87" t="str">
        <f>IFERROR(VLOOKUP(HotelEJO&amp;", "&amp;AH34,tblMealPricesEJO[],4,FALSE),"")</f>
        <v/>
      </c>
      <c r="BA34" s="87" t="str">
        <f>IFERROR(IF(L34&lt;$AC$19,VLOOKUP(BT34&amp;", "&amp;AI34,tblMealPricesEJO[],4,FALSE),""),"")</f>
        <v/>
      </c>
      <c r="BB34" s="87" t="str">
        <f>IFERROR(IF(L34&lt;$AC$19,"",VLOOKUP(BT34&amp;", "&amp;AI34,tblMealPricesEJUTC[],4,FALSE)),"")</f>
        <v/>
      </c>
      <c r="BC34" s="87" t="str">
        <f>IFERROR(VLOOKUP(HotelTC&amp;", "&amp;AJ34,tblMealPricesEJUTC[],4,FALSE),"")</f>
        <v/>
      </c>
      <c r="BD34" s="87" t="str">
        <f>IFERROR(VLOOKUP(HotelTC&amp;", "&amp;AK34,tblMealPricesEJUTC[],4,FALSE),"")</f>
        <v/>
      </c>
      <c r="BE34" s="93" t="str">
        <f>IFERROR(VLOOKUP(Z34,tblRoomPricesSunday[],2,FALSE),"")</f>
        <v/>
      </c>
      <c r="BF34" s="27" t="str">
        <f>IFERROR(VLOOKUP(AA34,tblRoomPricesSunday[],2,FALSE),"")</f>
        <v/>
      </c>
      <c r="BG34" s="27" t="str">
        <f>IFERROR(VLOOKUP(AB34,tblRoomPricesSunday[],2,FALSE),"")</f>
        <v/>
      </c>
      <c r="BH34" s="27" t="str">
        <f>IFERROR(VLOOKUP(AC34,tblRoomPricesSunday[],2,FALSE),"")</f>
        <v/>
      </c>
      <c r="BI34" s="27" t="str">
        <f>IFERROR(VLOOKUP(AD34,tblRoomPricesSunday[],2,FALSE),"")</f>
        <v/>
      </c>
      <c r="BJ34" s="94" t="str">
        <f>IFERROR(VLOOKUP(AE34,tblRoomPricesSunday[],2,FALSE),"")</f>
        <v/>
      </c>
      <c r="BK34" s="87" t="str">
        <f>IFERROR(VLOOKUP(HotelEJO&amp;", "&amp;AF34,tblMealPricesEJO[],3,FALSE),"")</f>
        <v/>
      </c>
      <c r="BL34" s="87" t="str">
        <f>IFERROR(VLOOKUP(HotelEJO&amp;", "&amp;AG34,tblMealPricesEJO[],3,FALSE),"")</f>
        <v/>
      </c>
      <c r="BM34" s="87" t="str">
        <f>IFERROR(VLOOKUP(HotelEJO&amp;", "&amp;AH34,tblMealPricesEJO[],3,FALSE),"")</f>
        <v/>
      </c>
      <c r="BN34" s="87" t="str">
        <f>IFERROR(IF(L34&lt;$AC$19,VLOOKUP(BT34&amp;", "&amp;AI34,tblMealPricesEJO[],3,FALSE),""),"")</f>
        <v/>
      </c>
      <c r="BO34" s="87" t="str">
        <f>IFERROR(IF(L34&lt;$AC$19,"",VLOOKUP(BT34&amp;", "&amp;AI34,tblMealPricesEJUTC[],3,FALSE)),"")</f>
        <v/>
      </c>
      <c r="BP34" s="87" t="str">
        <f>IFERROR(VLOOKUP(HotelTC&amp;", "&amp;AJ34,tblMealPricesEJUTC[],3,FALSE),"")</f>
        <v/>
      </c>
      <c r="BQ34" s="87" t="str">
        <f>IFERROR(VLOOKUP(HotelTC&amp;", "&amp;AK34,tblMealPricesEJUTC[],3,FALSE),"")</f>
        <v/>
      </c>
      <c r="BR34" s="91">
        <f t="shared" si="3"/>
        <v>0</v>
      </c>
      <c r="BS34" s="91">
        <f t="shared" si="4"/>
        <v>0</v>
      </c>
      <c r="BT34" s="91">
        <f t="shared" si="5"/>
        <v>0</v>
      </c>
      <c r="BU34" s="91">
        <f t="shared" si="9"/>
        <v>0</v>
      </c>
      <c r="BV34" s="91">
        <f t="shared" si="6"/>
        <v>0</v>
      </c>
      <c r="BW34" s="91">
        <f t="shared" si="7"/>
        <v>0</v>
      </c>
      <c r="BX34" s="91">
        <f t="shared" si="8"/>
        <v>0</v>
      </c>
    </row>
    <row r="35" spans="1:76">
      <c r="A35">
        <v>16</v>
      </c>
      <c r="B35" s="1"/>
      <c r="C35" s="2"/>
      <c r="D35" s="3"/>
      <c r="E35" s="4"/>
      <c r="F35" s="6"/>
      <c r="G35" s="2"/>
      <c r="H35" s="2"/>
      <c r="I35" s="2"/>
      <c r="J35" s="4"/>
      <c r="K35" s="7"/>
      <c r="L35" s="8"/>
      <c r="M35" s="9"/>
      <c r="N35" s="10"/>
      <c r="O35" s="2"/>
      <c r="P35" s="10"/>
      <c r="Q35" s="11"/>
      <c r="R35" s="8"/>
      <c r="S35" s="9"/>
      <c r="T35" s="10"/>
      <c r="U35" s="10"/>
      <c r="V35" s="2"/>
      <c r="W35" s="11"/>
      <c r="X35" s="6"/>
      <c r="Y35" s="5"/>
      <c r="Z35" s="26"/>
      <c r="AA35" s="26"/>
      <c r="AB35" s="26"/>
      <c r="AC35" s="26"/>
      <c r="AD35" s="26"/>
      <c r="AE35" s="26"/>
      <c r="AF35" s="23"/>
      <c r="AG35" s="23"/>
      <c r="AH35" s="23"/>
      <c r="AI35" s="23"/>
      <c r="AJ35" s="23"/>
      <c r="AK35" s="23"/>
      <c r="AL35" s="86" t="str">
        <f t="shared" si="0"/>
        <v/>
      </c>
      <c r="AM35" s="87">
        <f>IFERROR(IF(AND(VLOOKUP(D35,tblWeightOrFunction[],6,FALSE)=Parameters!$F$3,L35&lt;$AC$19,NOT(VLOOKUP(D35,tblWeightOrFunction[],4,FALSE)=Parameters!$D$3)),20,0),0)</f>
        <v>0</v>
      </c>
      <c r="AN35" s="27">
        <f>IFERROR(IF(AND(VLOOKUP(D35,tblWeightOrFunction[],6,FALSE)=Parameters!$F$3,R35&gt;$AE$19),1,0),0)</f>
        <v>0</v>
      </c>
      <c r="AO35" s="87">
        <f>IF(AN35=1,IF(ContFede=Parameters!EJU,30,100),0)</f>
        <v>0</v>
      </c>
      <c r="AP35" s="87">
        <f t="shared" si="1"/>
        <v>0</v>
      </c>
      <c r="AQ35" s="87">
        <f t="shared" si="2"/>
        <v>0</v>
      </c>
      <c r="AR35" s="87" t="str">
        <f>IFERROR(VLOOKUP(Z35,tblRoomPricesSunday[],4,FALSE),"")</f>
        <v/>
      </c>
      <c r="AS35" s="87" t="str">
        <f>IFERROR(VLOOKUP(AA35,tblRoomPricesSunday[],4,FALSE),"")</f>
        <v/>
      </c>
      <c r="AT35" s="87" t="str">
        <f>IFERROR(VLOOKUP(AB35,tblRoomPricesSunday[],4,FALSE),"")</f>
        <v/>
      </c>
      <c r="AU35" s="87" t="str">
        <f>IFERROR(VLOOKUP(AC35,tblRoomPricesSunday[],4,FALSE),"")</f>
        <v/>
      </c>
      <c r="AV35" s="87" t="str">
        <f>IFERROR(VLOOKUP(AD35,tblRoomPricesSunday[],4,FALSE),"")</f>
        <v/>
      </c>
      <c r="AW35" s="92" t="str">
        <f>IFERROR(VLOOKUP(AE35,tblRoomPricesSunday[],4,FALSE),"")</f>
        <v/>
      </c>
      <c r="AX35" s="87" t="str">
        <f>IFERROR(VLOOKUP(HotelEJO&amp;", "&amp;AF35,tblMealPricesEJO[],4,FALSE),"")</f>
        <v/>
      </c>
      <c r="AY35" s="87" t="str">
        <f>IFERROR(VLOOKUP(HotelEJO&amp;", "&amp;AG35,tblMealPricesEJO[],4,FALSE),"")</f>
        <v/>
      </c>
      <c r="AZ35" s="87" t="str">
        <f>IFERROR(VLOOKUP(HotelEJO&amp;", "&amp;AH35,tblMealPricesEJO[],4,FALSE),"")</f>
        <v/>
      </c>
      <c r="BA35" s="87" t="str">
        <f>IFERROR(IF(L35&lt;$AC$19,VLOOKUP(BT35&amp;", "&amp;AI35,tblMealPricesEJO[],4,FALSE),""),"")</f>
        <v/>
      </c>
      <c r="BB35" s="87" t="str">
        <f>IFERROR(IF(L35&lt;$AC$19,"",VLOOKUP(BT35&amp;", "&amp;AI35,tblMealPricesEJUTC[],4,FALSE)),"")</f>
        <v/>
      </c>
      <c r="BC35" s="87" t="str">
        <f>IFERROR(VLOOKUP(HotelTC&amp;", "&amp;AJ35,tblMealPricesEJUTC[],4,FALSE),"")</f>
        <v/>
      </c>
      <c r="BD35" s="87" t="str">
        <f>IFERROR(VLOOKUP(HotelTC&amp;", "&amp;AK35,tblMealPricesEJUTC[],4,FALSE),"")</f>
        <v/>
      </c>
      <c r="BE35" s="93" t="str">
        <f>IFERROR(VLOOKUP(Z35,tblRoomPricesSunday[],2,FALSE),"")</f>
        <v/>
      </c>
      <c r="BF35" s="27" t="str">
        <f>IFERROR(VLOOKUP(AA35,tblRoomPricesSunday[],2,FALSE),"")</f>
        <v/>
      </c>
      <c r="BG35" s="27" t="str">
        <f>IFERROR(VLOOKUP(AB35,tblRoomPricesSunday[],2,FALSE),"")</f>
        <v/>
      </c>
      <c r="BH35" s="27" t="str">
        <f>IFERROR(VLOOKUP(AC35,tblRoomPricesSunday[],2,FALSE),"")</f>
        <v/>
      </c>
      <c r="BI35" s="27" t="str">
        <f>IFERROR(VLOOKUP(AD35,tblRoomPricesSunday[],2,FALSE),"")</f>
        <v/>
      </c>
      <c r="BJ35" s="94" t="str">
        <f>IFERROR(VLOOKUP(AE35,tblRoomPricesSunday[],2,FALSE),"")</f>
        <v/>
      </c>
      <c r="BK35" s="87" t="str">
        <f>IFERROR(VLOOKUP(HotelEJO&amp;", "&amp;AF35,tblMealPricesEJO[],3,FALSE),"")</f>
        <v/>
      </c>
      <c r="BL35" s="87" t="str">
        <f>IFERROR(VLOOKUP(HotelEJO&amp;", "&amp;AG35,tblMealPricesEJO[],3,FALSE),"")</f>
        <v/>
      </c>
      <c r="BM35" s="87" t="str">
        <f>IFERROR(VLOOKUP(HotelEJO&amp;", "&amp;AH35,tblMealPricesEJO[],3,FALSE),"")</f>
        <v/>
      </c>
      <c r="BN35" s="87" t="str">
        <f>IFERROR(IF(L35&lt;$AC$19,VLOOKUP(BT35&amp;", "&amp;AI35,tblMealPricesEJO[],3,FALSE),""),"")</f>
        <v/>
      </c>
      <c r="BO35" s="87" t="str">
        <f>IFERROR(IF(L35&lt;$AC$19,"",VLOOKUP(BT35&amp;", "&amp;AI35,tblMealPricesEJUTC[],3,FALSE)),"")</f>
        <v/>
      </c>
      <c r="BP35" s="87" t="str">
        <f>IFERROR(VLOOKUP(HotelTC&amp;", "&amp;AJ35,tblMealPricesEJUTC[],3,FALSE),"")</f>
        <v/>
      </c>
      <c r="BQ35" s="87" t="str">
        <f>IFERROR(VLOOKUP(HotelTC&amp;", "&amp;AK35,tblMealPricesEJUTC[],3,FALSE),"")</f>
        <v/>
      </c>
      <c r="BR35" s="91">
        <f t="shared" si="3"/>
        <v>0</v>
      </c>
      <c r="BS35" s="91">
        <f t="shared" si="4"/>
        <v>0</v>
      </c>
      <c r="BT35" s="91">
        <f t="shared" si="5"/>
        <v>0</v>
      </c>
      <c r="BU35" s="91">
        <f t="shared" si="9"/>
        <v>0</v>
      </c>
      <c r="BV35" s="91">
        <f t="shared" si="6"/>
        <v>0</v>
      </c>
      <c r="BW35" s="91">
        <f t="shared" si="7"/>
        <v>0</v>
      </c>
      <c r="BX35" s="91">
        <f t="shared" si="8"/>
        <v>0</v>
      </c>
    </row>
    <row r="36" spans="1:76">
      <c r="A36">
        <v>17</v>
      </c>
      <c r="B36" s="1"/>
      <c r="C36" s="2"/>
      <c r="D36" s="3"/>
      <c r="E36" s="4"/>
      <c r="F36" s="6"/>
      <c r="G36" s="2"/>
      <c r="H36" s="2"/>
      <c r="I36" s="2"/>
      <c r="J36" s="4"/>
      <c r="K36" s="7"/>
      <c r="L36" s="8"/>
      <c r="M36" s="9"/>
      <c r="N36" s="10"/>
      <c r="O36" s="2"/>
      <c r="P36" s="10"/>
      <c r="Q36" s="11"/>
      <c r="R36" s="8"/>
      <c r="S36" s="9"/>
      <c r="T36" s="10"/>
      <c r="U36" s="10"/>
      <c r="V36" s="2"/>
      <c r="W36" s="11"/>
      <c r="X36" s="6"/>
      <c r="Y36" s="5"/>
      <c r="Z36" s="26"/>
      <c r="AA36" s="26"/>
      <c r="AB36" s="26"/>
      <c r="AC36" s="26"/>
      <c r="AD36" s="26"/>
      <c r="AE36" s="26"/>
      <c r="AF36" s="23"/>
      <c r="AG36" s="23"/>
      <c r="AH36" s="23"/>
      <c r="AI36" s="23"/>
      <c r="AJ36" s="23"/>
      <c r="AK36" s="23"/>
      <c r="AL36" s="86" t="str">
        <f t="shared" si="0"/>
        <v/>
      </c>
      <c r="AM36" s="87">
        <f>IFERROR(IF(AND(VLOOKUP(D36,tblWeightOrFunction[],6,FALSE)=Parameters!$F$3,L36&lt;$AC$19,NOT(VLOOKUP(D36,tblWeightOrFunction[],4,FALSE)=Parameters!$D$3)),20,0),0)</f>
        <v>0</v>
      </c>
      <c r="AN36" s="27">
        <f>IFERROR(IF(AND(VLOOKUP(D36,tblWeightOrFunction[],6,FALSE)=Parameters!$F$3,R36&gt;$AE$19),1,0),0)</f>
        <v>0</v>
      </c>
      <c r="AO36" s="87">
        <f>IF(AN36=1,IF(ContFede=Parameters!EJU,30,100),0)</f>
        <v>0</v>
      </c>
      <c r="AP36" s="87">
        <f t="shared" si="1"/>
        <v>0</v>
      </c>
      <c r="AQ36" s="87">
        <f t="shared" si="2"/>
        <v>0</v>
      </c>
      <c r="AR36" s="87" t="str">
        <f>IFERROR(VLOOKUP(Z36,tblRoomPricesSunday[],4,FALSE),"")</f>
        <v/>
      </c>
      <c r="AS36" s="87" t="str">
        <f>IFERROR(VLOOKUP(AA36,tblRoomPricesSunday[],4,FALSE),"")</f>
        <v/>
      </c>
      <c r="AT36" s="87" t="str">
        <f>IFERROR(VLOOKUP(AB36,tblRoomPricesSunday[],4,FALSE),"")</f>
        <v/>
      </c>
      <c r="AU36" s="87" t="str">
        <f>IFERROR(VLOOKUP(AC36,tblRoomPricesSunday[],4,FALSE),"")</f>
        <v/>
      </c>
      <c r="AV36" s="87" t="str">
        <f>IFERROR(VLOOKUP(AD36,tblRoomPricesSunday[],4,FALSE),"")</f>
        <v/>
      </c>
      <c r="AW36" s="92" t="str">
        <f>IFERROR(VLOOKUP(AE36,tblRoomPricesSunday[],4,FALSE),"")</f>
        <v/>
      </c>
      <c r="AX36" s="87" t="str">
        <f>IFERROR(VLOOKUP(HotelEJO&amp;", "&amp;AF36,tblMealPricesEJO[],4,FALSE),"")</f>
        <v/>
      </c>
      <c r="AY36" s="87" t="str">
        <f>IFERROR(VLOOKUP(HotelEJO&amp;", "&amp;AG36,tblMealPricesEJO[],4,FALSE),"")</f>
        <v/>
      </c>
      <c r="AZ36" s="87" t="str">
        <f>IFERROR(VLOOKUP(HotelEJO&amp;", "&amp;AH36,tblMealPricesEJO[],4,FALSE),"")</f>
        <v/>
      </c>
      <c r="BA36" s="87" t="str">
        <f>IFERROR(IF(L36&lt;$AC$19,VLOOKUP(BT36&amp;", "&amp;AI36,tblMealPricesEJO[],4,FALSE),""),"")</f>
        <v/>
      </c>
      <c r="BB36" s="87" t="str">
        <f>IFERROR(IF(L36&lt;$AC$19,"",VLOOKUP(BT36&amp;", "&amp;AI36,tblMealPricesEJUTC[],4,FALSE)),"")</f>
        <v/>
      </c>
      <c r="BC36" s="87" t="str">
        <f>IFERROR(VLOOKUP(HotelTC&amp;", "&amp;AJ36,tblMealPricesEJUTC[],4,FALSE),"")</f>
        <v/>
      </c>
      <c r="BD36" s="87" t="str">
        <f>IFERROR(VLOOKUP(HotelTC&amp;", "&amp;AK36,tblMealPricesEJUTC[],4,FALSE),"")</f>
        <v/>
      </c>
      <c r="BE36" s="93" t="str">
        <f>IFERROR(VLOOKUP(Z36,tblRoomPricesSunday[],2,FALSE),"")</f>
        <v/>
      </c>
      <c r="BF36" s="27" t="str">
        <f>IFERROR(VLOOKUP(AA36,tblRoomPricesSunday[],2,FALSE),"")</f>
        <v/>
      </c>
      <c r="BG36" s="27" t="str">
        <f>IFERROR(VLOOKUP(AB36,tblRoomPricesSunday[],2,FALSE),"")</f>
        <v/>
      </c>
      <c r="BH36" s="27" t="str">
        <f>IFERROR(VLOOKUP(AC36,tblRoomPricesSunday[],2,FALSE),"")</f>
        <v/>
      </c>
      <c r="BI36" s="27" t="str">
        <f>IFERROR(VLOOKUP(AD36,tblRoomPricesSunday[],2,FALSE),"")</f>
        <v/>
      </c>
      <c r="BJ36" s="94" t="str">
        <f>IFERROR(VLOOKUP(AE36,tblRoomPricesSunday[],2,FALSE),"")</f>
        <v/>
      </c>
      <c r="BK36" s="87" t="str">
        <f>IFERROR(VLOOKUP(HotelEJO&amp;", "&amp;AF36,tblMealPricesEJO[],3,FALSE),"")</f>
        <v/>
      </c>
      <c r="BL36" s="87" t="str">
        <f>IFERROR(VLOOKUP(HotelEJO&amp;", "&amp;AG36,tblMealPricesEJO[],3,FALSE),"")</f>
        <v/>
      </c>
      <c r="BM36" s="87" t="str">
        <f>IFERROR(VLOOKUP(HotelEJO&amp;", "&amp;AH36,tblMealPricesEJO[],3,FALSE),"")</f>
        <v/>
      </c>
      <c r="BN36" s="87" t="str">
        <f>IFERROR(IF(L36&lt;$AC$19,VLOOKUP(BT36&amp;", "&amp;AI36,tblMealPricesEJO[],3,FALSE),""),"")</f>
        <v/>
      </c>
      <c r="BO36" s="87" t="str">
        <f>IFERROR(IF(L36&lt;$AC$19,"",VLOOKUP(BT36&amp;", "&amp;AI36,tblMealPricesEJUTC[],3,FALSE)),"")</f>
        <v/>
      </c>
      <c r="BP36" s="87" t="str">
        <f>IFERROR(VLOOKUP(HotelTC&amp;", "&amp;AJ36,tblMealPricesEJUTC[],3,FALSE),"")</f>
        <v/>
      </c>
      <c r="BQ36" s="87" t="str">
        <f>IFERROR(VLOOKUP(HotelTC&amp;", "&amp;AK36,tblMealPricesEJUTC[],3,FALSE),"")</f>
        <v/>
      </c>
      <c r="BR36" s="91">
        <f t="shared" si="3"/>
        <v>0</v>
      </c>
      <c r="BS36" s="91">
        <f t="shared" si="4"/>
        <v>0</v>
      </c>
      <c r="BT36" s="91">
        <f t="shared" si="5"/>
        <v>0</v>
      </c>
      <c r="BU36" s="91">
        <f t="shared" si="9"/>
        <v>0</v>
      </c>
      <c r="BV36" s="91">
        <f t="shared" si="6"/>
        <v>0</v>
      </c>
      <c r="BW36" s="91">
        <f t="shared" si="7"/>
        <v>0</v>
      </c>
      <c r="BX36" s="91">
        <f t="shared" si="8"/>
        <v>0</v>
      </c>
    </row>
    <row r="37" spans="1:76">
      <c r="A37">
        <v>18</v>
      </c>
      <c r="B37" s="1"/>
      <c r="C37" s="2"/>
      <c r="D37" s="3"/>
      <c r="E37" s="4"/>
      <c r="F37" s="6"/>
      <c r="G37" s="2"/>
      <c r="H37" s="2"/>
      <c r="I37" s="2"/>
      <c r="J37" s="4"/>
      <c r="K37" s="7"/>
      <c r="L37" s="8"/>
      <c r="M37" s="9"/>
      <c r="N37" s="10"/>
      <c r="O37" s="2"/>
      <c r="P37" s="10"/>
      <c r="Q37" s="11"/>
      <c r="R37" s="8"/>
      <c r="S37" s="9"/>
      <c r="T37" s="10"/>
      <c r="U37" s="10"/>
      <c r="V37" s="2"/>
      <c r="W37" s="11"/>
      <c r="X37" s="6"/>
      <c r="Y37" s="5"/>
      <c r="Z37" s="26"/>
      <c r="AA37" s="26"/>
      <c r="AB37" s="26"/>
      <c r="AC37" s="26"/>
      <c r="AD37" s="26"/>
      <c r="AE37" s="26"/>
      <c r="AF37" s="23"/>
      <c r="AG37" s="23"/>
      <c r="AH37" s="23"/>
      <c r="AI37" s="23"/>
      <c r="AJ37" s="23"/>
      <c r="AK37" s="23"/>
      <c r="AL37" s="86" t="str">
        <f t="shared" si="0"/>
        <v/>
      </c>
      <c r="AM37" s="87">
        <f>IFERROR(IF(AND(VLOOKUP(D37,tblWeightOrFunction[],6,FALSE)=Parameters!$F$3,L37&lt;$AC$19,NOT(VLOOKUP(D37,tblWeightOrFunction[],4,FALSE)=Parameters!$D$3)),20,0),0)</f>
        <v>0</v>
      </c>
      <c r="AN37" s="27">
        <f>IFERROR(IF(AND(VLOOKUP(D37,tblWeightOrFunction[],6,FALSE)=Parameters!$F$3,R37&gt;$AE$19),1,0),0)</f>
        <v>0</v>
      </c>
      <c r="AO37" s="87">
        <f>IF(AN37=1,IF(ContFede=Parameters!EJU,30,100),0)</f>
        <v>0</v>
      </c>
      <c r="AP37" s="87">
        <f t="shared" si="1"/>
        <v>0</v>
      </c>
      <c r="AQ37" s="87">
        <f t="shared" si="2"/>
        <v>0</v>
      </c>
      <c r="AR37" s="87" t="str">
        <f>IFERROR(VLOOKUP(Z37,tblRoomPricesSunday[],4,FALSE),"")</f>
        <v/>
      </c>
      <c r="AS37" s="87" t="str">
        <f>IFERROR(VLOOKUP(AA37,tblRoomPricesSunday[],4,FALSE),"")</f>
        <v/>
      </c>
      <c r="AT37" s="87" t="str">
        <f>IFERROR(VLOOKUP(AB37,tblRoomPricesSunday[],4,FALSE),"")</f>
        <v/>
      </c>
      <c r="AU37" s="87" t="str">
        <f>IFERROR(VLOOKUP(AC37,tblRoomPricesSunday[],4,FALSE),"")</f>
        <v/>
      </c>
      <c r="AV37" s="87" t="str">
        <f>IFERROR(VLOOKUP(AD37,tblRoomPricesSunday[],4,FALSE),"")</f>
        <v/>
      </c>
      <c r="AW37" s="92" t="str">
        <f>IFERROR(VLOOKUP(AE37,tblRoomPricesSunday[],4,FALSE),"")</f>
        <v/>
      </c>
      <c r="AX37" s="87" t="str">
        <f>IFERROR(VLOOKUP(HotelEJO&amp;", "&amp;AF37,tblMealPricesEJO[],4,FALSE),"")</f>
        <v/>
      </c>
      <c r="AY37" s="87" t="str">
        <f>IFERROR(VLOOKUP(HotelEJO&amp;", "&amp;AG37,tblMealPricesEJO[],4,FALSE),"")</f>
        <v/>
      </c>
      <c r="AZ37" s="87" t="str">
        <f>IFERROR(VLOOKUP(HotelEJO&amp;", "&amp;AH37,tblMealPricesEJO[],4,FALSE),"")</f>
        <v/>
      </c>
      <c r="BA37" s="87" t="str">
        <f>IFERROR(IF(L37&lt;$AC$19,VLOOKUP(BT37&amp;", "&amp;AI37,tblMealPricesEJO[],4,FALSE),""),"")</f>
        <v/>
      </c>
      <c r="BB37" s="87" t="str">
        <f>IFERROR(IF(L37&lt;$AC$19,"",VLOOKUP(BT37&amp;", "&amp;AI37,tblMealPricesEJUTC[],4,FALSE)),"")</f>
        <v/>
      </c>
      <c r="BC37" s="87" t="str">
        <f>IFERROR(VLOOKUP(HotelTC&amp;", "&amp;AJ37,tblMealPricesEJUTC[],4,FALSE),"")</f>
        <v/>
      </c>
      <c r="BD37" s="87" t="str">
        <f>IFERROR(VLOOKUP(HotelTC&amp;", "&amp;AK37,tblMealPricesEJUTC[],4,FALSE),"")</f>
        <v/>
      </c>
      <c r="BE37" s="93" t="str">
        <f>IFERROR(VLOOKUP(Z37,tblRoomPricesSunday[],2,FALSE),"")</f>
        <v/>
      </c>
      <c r="BF37" s="27" t="str">
        <f>IFERROR(VLOOKUP(AA37,tblRoomPricesSunday[],2,FALSE),"")</f>
        <v/>
      </c>
      <c r="BG37" s="27" t="str">
        <f>IFERROR(VLOOKUP(AB37,tblRoomPricesSunday[],2,FALSE),"")</f>
        <v/>
      </c>
      <c r="BH37" s="27" t="str">
        <f>IFERROR(VLOOKUP(AC37,tblRoomPricesSunday[],2,FALSE),"")</f>
        <v/>
      </c>
      <c r="BI37" s="27" t="str">
        <f>IFERROR(VLOOKUP(AD37,tblRoomPricesSunday[],2,FALSE),"")</f>
        <v/>
      </c>
      <c r="BJ37" s="94" t="str">
        <f>IFERROR(VLOOKUP(AE37,tblRoomPricesSunday[],2,FALSE),"")</f>
        <v/>
      </c>
      <c r="BK37" s="87" t="str">
        <f>IFERROR(VLOOKUP(HotelEJO&amp;", "&amp;AF37,tblMealPricesEJO[],3,FALSE),"")</f>
        <v/>
      </c>
      <c r="BL37" s="87" t="str">
        <f>IFERROR(VLOOKUP(HotelEJO&amp;", "&amp;AG37,tblMealPricesEJO[],3,FALSE),"")</f>
        <v/>
      </c>
      <c r="BM37" s="87" t="str">
        <f>IFERROR(VLOOKUP(HotelEJO&amp;", "&amp;AH37,tblMealPricesEJO[],3,FALSE),"")</f>
        <v/>
      </c>
      <c r="BN37" s="87" t="str">
        <f>IFERROR(IF(L37&lt;$AC$19,VLOOKUP(BT37&amp;", "&amp;AI37,tblMealPricesEJO[],3,FALSE),""),"")</f>
        <v/>
      </c>
      <c r="BO37" s="87" t="str">
        <f>IFERROR(IF(L37&lt;$AC$19,"",VLOOKUP(BT37&amp;", "&amp;AI37,tblMealPricesEJUTC[],3,FALSE)),"")</f>
        <v/>
      </c>
      <c r="BP37" s="87" t="str">
        <f>IFERROR(VLOOKUP(HotelTC&amp;", "&amp;AJ37,tblMealPricesEJUTC[],3,FALSE),"")</f>
        <v/>
      </c>
      <c r="BQ37" s="87" t="str">
        <f>IFERROR(VLOOKUP(HotelTC&amp;", "&amp;AK37,tblMealPricesEJUTC[],3,FALSE),"")</f>
        <v/>
      </c>
      <c r="BR37" s="91">
        <f t="shared" si="3"/>
        <v>0</v>
      </c>
      <c r="BS37" s="91">
        <f t="shared" si="4"/>
        <v>0</v>
      </c>
      <c r="BT37" s="91">
        <f t="shared" si="5"/>
        <v>0</v>
      </c>
      <c r="BU37" s="91">
        <f t="shared" si="9"/>
        <v>0</v>
      </c>
      <c r="BV37" s="91">
        <f t="shared" si="6"/>
        <v>0</v>
      </c>
      <c r="BW37" s="91">
        <f t="shared" si="7"/>
        <v>0</v>
      </c>
      <c r="BX37" s="91">
        <f t="shared" si="8"/>
        <v>0</v>
      </c>
    </row>
    <row r="38" spans="1:76">
      <c r="A38">
        <v>19</v>
      </c>
      <c r="B38" s="1"/>
      <c r="C38" s="2"/>
      <c r="D38" s="3"/>
      <c r="E38" s="4"/>
      <c r="F38" s="6"/>
      <c r="G38" s="2"/>
      <c r="H38" s="2"/>
      <c r="I38" s="2"/>
      <c r="J38" s="4"/>
      <c r="K38" s="7"/>
      <c r="L38" s="8"/>
      <c r="M38" s="9"/>
      <c r="N38" s="10"/>
      <c r="O38" s="2"/>
      <c r="P38" s="10"/>
      <c r="Q38" s="11"/>
      <c r="R38" s="8"/>
      <c r="S38" s="9"/>
      <c r="T38" s="10"/>
      <c r="U38" s="10"/>
      <c r="V38" s="2"/>
      <c r="W38" s="11"/>
      <c r="X38" s="6"/>
      <c r="Y38" s="5"/>
      <c r="Z38" s="26"/>
      <c r="AA38" s="26"/>
      <c r="AB38" s="26"/>
      <c r="AC38" s="26"/>
      <c r="AD38" s="26"/>
      <c r="AE38" s="26"/>
      <c r="AF38" s="23"/>
      <c r="AG38" s="23"/>
      <c r="AH38" s="23"/>
      <c r="AI38" s="23"/>
      <c r="AJ38" s="23"/>
      <c r="AK38" s="23"/>
      <c r="AL38" s="86" t="str">
        <f t="shared" si="0"/>
        <v/>
      </c>
      <c r="AM38" s="87">
        <f>IFERROR(IF(AND(VLOOKUP(D38,tblWeightOrFunction[],6,FALSE)=Parameters!$F$3,L38&lt;$AC$19,NOT(VLOOKUP(D38,tblWeightOrFunction[],4,FALSE)=Parameters!$D$3)),20,0),0)</f>
        <v>0</v>
      </c>
      <c r="AN38" s="27">
        <f>IFERROR(IF(AND(VLOOKUP(D38,tblWeightOrFunction[],6,FALSE)=Parameters!$F$3,R38&gt;$AE$19),1,0),0)</f>
        <v>0</v>
      </c>
      <c r="AO38" s="87">
        <f>IF(AN38=1,IF(ContFede=Parameters!EJU,30,100),0)</f>
        <v>0</v>
      </c>
      <c r="AP38" s="87">
        <f t="shared" si="1"/>
        <v>0</v>
      </c>
      <c r="AQ38" s="87">
        <f t="shared" si="2"/>
        <v>0</v>
      </c>
      <c r="AR38" s="87" t="str">
        <f>IFERROR(VLOOKUP(Z38,tblRoomPricesSunday[],4,FALSE),"")</f>
        <v/>
      </c>
      <c r="AS38" s="87" t="str">
        <f>IFERROR(VLOOKUP(AA38,tblRoomPricesSunday[],4,FALSE),"")</f>
        <v/>
      </c>
      <c r="AT38" s="87" t="str">
        <f>IFERROR(VLOOKUP(AB38,tblRoomPricesSunday[],4,FALSE),"")</f>
        <v/>
      </c>
      <c r="AU38" s="87" t="str">
        <f>IFERROR(VLOOKUP(AC38,tblRoomPricesSunday[],4,FALSE),"")</f>
        <v/>
      </c>
      <c r="AV38" s="87" t="str">
        <f>IFERROR(VLOOKUP(AD38,tblRoomPricesSunday[],4,FALSE),"")</f>
        <v/>
      </c>
      <c r="AW38" s="92" t="str">
        <f>IFERROR(VLOOKUP(AE38,tblRoomPricesSunday[],4,FALSE),"")</f>
        <v/>
      </c>
      <c r="AX38" s="87" t="str">
        <f>IFERROR(VLOOKUP(HotelEJO&amp;", "&amp;AF38,tblMealPricesEJO[],4,FALSE),"")</f>
        <v/>
      </c>
      <c r="AY38" s="87" t="str">
        <f>IFERROR(VLOOKUP(HotelEJO&amp;", "&amp;AG38,tblMealPricesEJO[],4,FALSE),"")</f>
        <v/>
      </c>
      <c r="AZ38" s="87" t="str">
        <f>IFERROR(VLOOKUP(HotelEJO&amp;", "&amp;AH38,tblMealPricesEJO[],4,FALSE),"")</f>
        <v/>
      </c>
      <c r="BA38" s="87" t="str">
        <f>IFERROR(IF(L38&lt;$AC$19,VLOOKUP(BT38&amp;", "&amp;AI38,tblMealPricesEJO[],4,FALSE),""),"")</f>
        <v/>
      </c>
      <c r="BB38" s="87" t="str">
        <f>IFERROR(IF(L38&lt;$AC$19,"",VLOOKUP(BT38&amp;", "&amp;AI38,tblMealPricesEJUTC[],4,FALSE)),"")</f>
        <v/>
      </c>
      <c r="BC38" s="87" t="str">
        <f>IFERROR(VLOOKUP(HotelTC&amp;", "&amp;AJ38,tblMealPricesEJUTC[],4,FALSE),"")</f>
        <v/>
      </c>
      <c r="BD38" s="87" t="str">
        <f>IFERROR(VLOOKUP(HotelTC&amp;", "&amp;AK38,tblMealPricesEJUTC[],4,FALSE),"")</f>
        <v/>
      </c>
      <c r="BE38" s="93" t="str">
        <f>IFERROR(VLOOKUP(Z38,tblRoomPricesSunday[],2,FALSE),"")</f>
        <v/>
      </c>
      <c r="BF38" s="27" t="str">
        <f>IFERROR(VLOOKUP(AA38,tblRoomPricesSunday[],2,FALSE),"")</f>
        <v/>
      </c>
      <c r="BG38" s="27" t="str">
        <f>IFERROR(VLOOKUP(AB38,tblRoomPricesSunday[],2,FALSE),"")</f>
        <v/>
      </c>
      <c r="BH38" s="27" t="str">
        <f>IFERROR(VLOOKUP(AC38,tblRoomPricesSunday[],2,FALSE),"")</f>
        <v/>
      </c>
      <c r="BI38" s="27" t="str">
        <f>IFERROR(VLOOKUP(AD38,tblRoomPricesSunday[],2,FALSE),"")</f>
        <v/>
      </c>
      <c r="BJ38" s="94" t="str">
        <f>IFERROR(VLOOKUP(AE38,tblRoomPricesSunday[],2,FALSE),"")</f>
        <v/>
      </c>
      <c r="BK38" s="87" t="str">
        <f>IFERROR(VLOOKUP(HotelEJO&amp;", "&amp;AF38,tblMealPricesEJO[],3,FALSE),"")</f>
        <v/>
      </c>
      <c r="BL38" s="87" t="str">
        <f>IFERROR(VLOOKUP(HotelEJO&amp;", "&amp;AG38,tblMealPricesEJO[],3,FALSE),"")</f>
        <v/>
      </c>
      <c r="BM38" s="87" t="str">
        <f>IFERROR(VLOOKUP(HotelEJO&amp;", "&amp;AH38,tblMealPricesEJO[],3,FALSE),"")</f>
        <v/>
      </c>
      <c r="BN38" s="87" t="str">
        <f>IFERROR(IF(L38&lt;$AC$19,VLOOKUP(BT38&amp;", "&amp;AI38,tblMealPricesEJO[],3,FALSE),""),"")</f>
        <v/>
      </c>
      <c r="BO38" s="87" t="str">
        <f>IFERROR(IF(L38&lt;$AC$19,"",VLOOKUP(BT38&amp;", "&amp;AI38,tblMealPricesEJUTC[],3,FALSE)),"")</f>
        <v/>
      </c>
      <c r="BP38" s="87" t="str">
        <f>IFERROR(VLOOKUP(HotelTC&amp;", "&amp;AJ38,tblMealPricesEJUTC[],3,FALSE),"")</f>
        <v/>
      </c>
      <c r="BQ38" s="87" t="str">
        <f>IFERROR(VLOOKUP(HotelTC&amp;", "&amp;AK38,tblMealPricesEJUTC[],3,FALSE),"")</f>
        <v/>
      </c>
      <c r="BR38" s="91">
        <f t="shared" si="3"/>
        <v>0</v>
      </c>
      <c r="BS38" s="91">
        <f t="shared" si="4"/>
        <v>0</v>
      </c>
      <c r="BT38" s="91">
        <f t="shared" si="5"/>
        <v>0</v>
      </c>
      <c r="BU38" s="91">
        <f t="shared" si="9"/>
        <v>0</v>
      </c>
      <c r="BV38" s="91">
        <f t="shared" si="6"/>
        <v>0</v>
      </c>
      <c r="BW38" s="91">
        <f t="shared" si="7"/>
        <v>0</v>
      </c>
      <c r="BX38" s="91">
        <f t="shared" si="8"/>
        <v>0</v>
      </c>
    </row>
    <row r="39" spans="1:76">
      <c r="A39">
        <v>20</v>
      </c>
      <c r="B39" s="1"/>
      <c r="C39" s="2"/>
      <c r="D39" s="3"/>
      <c r="E39" s="4"/>
      <c r="F39" s="6"/>
      <c r="G39" s="2"/>
      <c r="H39" s="2"/>
      <c r="I39" s="2"/>
      <c r="J39" s="4"/>
      <c r="K39" s="7"/>
      <c r="L39" s="8"/>
      <c r="M39" s="9"/>
      <c r="N39" s="10"/>
      <c r="O39" s="2"/>
      <c r="P39" s="10"/>
      <c r="Q39" s="11"/>
      <c r="R39" s="8"/>
      <c r="S39" s="9"/>
      <c r="T39" s="10"/>
      <c r="U39" s="10"/>
      <c r="V39" s="2"/>
      <c r="W39" s="11"/>
      <c r="X39" s="6"/>
      <c r="Y39" s="5"/>
      <c r="Z39" s="26"/>
      <c r="AA39" s="26"/>
      <c r="AB39" s="26"/>
      <c r="AC39" s="26"/>
      <c r="AD39" s="26"/>
      <c r="AE39" s="26"/>
      <c r="AF39" s="23"/>
      <c r="AG39" s="23"/>
      <c r="AH39" s="23"/>
      <c r="AI39" s="23"/>
      <c r="AJ39" s="23"/>
      <c r="AK39" s="23"/>
      <c r="AL39" s="86" t="str">
        <f t="shared" si="0"/>
        <v/>
      </c>
      <c r="AM39" s="87">
        <f>IFERROR(IF(AND(VLOOKUP(D39,tblWeightOrFunction[],6,FALSE)=Parameters!$F$3,L39&lt;$AC$19,NOT(VLOOKUP(D39,tblWeightOrFunction[],4,FALSE)=Parameters!$D$3)),20,0),0)</f>
        <v>0</v>
      </c>
      <c r="AN39" s="27">
        <f>IFERROR(IF(AND(VLOOKUP(D39,tblWeightOrFunction[],6,FALSE)=Parameters!$F$3,R39&gt;$AE$19),1,0),0)</f>
        <v>0</v>
      </c>
      <c r="AO39" s="87">
        <f>IF(AN39=1,IF(ContFede=Parameters!EJU,30,100),0)</f>
        <v>0</v>
      </c>
      <c r="AP39" s="87">
        <f t="shared" si="1"/>
        <v>0</v>
      </c>
      <c r="AQ39" s="87">
        <f t="shared" si="2"/>
        <v>0</v>
      </c>
      <c r="AR39" s="87" t="str">
        <f>IFERROR(VLOOKUP(Z39,tblRoomPricesSunday[],4,FALSE),"")</f>
        <v/>
      </c>
      <c r="AS39" s="87" t="str">
        <f>IFERROR(VLOOKUP(AA39,tblRoomPricesSunday[],4,FALSE),"")</f>
        <v/>
      </c>
      <c r="AT39" s="87" t="str">
        <f>IFERROR(VLOOKUP(AB39,tblRoomPricesSunday[],4,FALSE),"")</f>
        <v/>
      </c>
      <c r="AU39" s="87" t="str">
        <f>IFERROR(VLOOKUP(AC39,tblRoomPricesSunday[],4,FALSE),"")</f>
        <v/>
      </c>
      <c r="AV39" s="87" t="str">
        <f>IFERROR(VLOOKUP(AD39,tblRoomPricesSunday[],4,FALSE),"")</f>
        <v/>
      </c>
      <c r="AW39" s="92" t="str">
        <f>IFERROR(VLOOKUP(AE39,tblRoomPricesSunday[],4,FALSE),"")</f>
        <v/>
      </c>
      <c r="AX39" s="87" t="str">
        <f>IFERROR(VLOOKUP(HotelEJO&amp;", "&amp;AF39,tblMealPricesEJO[],4,FALSE),"")</f>
        <v/>
      </c>
      <c r="AY39" s="87" t="str">
        <f>IFERROR(VLOOKUP(HotelEJO&amp;", "&amp;AG39,tblMealPricesEJO[],4,FALSE),"")</f>
        <v/>
      </c>
      <c r="AZ39" s="87" t="str">
        <f>IFERROR(VLOOKUP(HotelEJO&amp;", "&amp;AH39,tblMealPricesEJO[],4,FALSE),"")</f>
        <v/>
      </c>
      <c r="BA39" s="87" t="str">
        <f>IFERROR(IF(L39&lt;$AC$19,VLOOKUP(BT39&amp;", "&amp;AI39,tblMealPricesEJO[],4,FALSE),""),"")</f>
        <v/>
      </c>
      <c r="BB39" s="87" t="str">
        <f>IFERROR(IF(L39&lt;$AC$19,"",VLOOKUP(BT39&amp;", "&amp;AI39,tblMealPricesEJUTC[],4,FALSE)),"")</f>
        <v/>
      </c>
      <c r="BC39" s="87" t="str">
        <f>IFERROR(VLOOKUP(HotelTC&amp;", "&amp;AJ39,tblMealPricesEJUTC[],4,FALSE),"")</f>
        <v/>
      </c>
      <c r="BD39" s="87" t="str">
        <f>IFERROR(VLOOKUP(HotelTC&amp;", "&amp;AK39,tblMealPricesEJUTC[],4,FALSE),"")</f>
        <v/>
      </c>
      <c r="BE39" s="93" t="str">
        <f>IFERROR(VLOOKUP(Z39,tblRoomPricesSunday[],2,FALSE),"")</f>
        <v/>
      </c>
      <c r="BF39" s="27" t="str">
        <f>IFERROR(VLOOKUP(AA39,tblRoomPricesSunday[],2,FALSE),"")</f>
        <v/>
      </c>
      <c r="BG39" s="27" t="str">
        <f>IFERROR(VLOOKUP(AB39,tblRoomPricesSunday[],2,FALSE),"")</f>
        <v/>
      </c>
      <c r="BH39" s="27" t="str">
        <f>IFERROR(VLOOKUP(AC39,tblRoomPricesSunday[],2,FALSE),"")</f>
        <v/>
      </c>
      <c r="BI39" s="27" t="str">
        <f>IFERROR(VLOOKUP(AD39,tblRoomPricesSunday[],2,FALSE),"")</f>
        <v/>
      </c>
      <c r="BJ39" s="94" t="str">
        <f>IFERROR(VLOOKUP(AE39,tblRoomPricesSunday[],2,FALSE),"")</f>
        <v/>
      </c>
      <c r="BK39" s="87" t="str">
        <f>IFERROR(VLOOKUP(HotelEJO&amp;", "&amp;AF39,tblMealPricesEJO[],3,FALSE),"")</f>
        <v/>
      </c>
      <c r="BL39" s="87" t="str">
        <f>IFERROR(VLOOKUP(HotelEJO&amp;", "&amp;AG39,tblMealPricesEJO[],3,FALSE),"")</f>
        <v/>
      </c>
      <c r="BM39" s="87" t="str">
        <f>IFERROR(VLOOKUP(HotelEJO&amp;", "&amp;AH39,tblMealPricesEJO[],3,FALSE),"")</f>
        <v/>
      </c>
      <c r="BN39" s="87" t="str">
        <f>IFERROR(IF(L39&lt;$AC$19,VLOOKUP(BT39&amp;", "&amp;AI39,tblMealPricesEJO[],3,FALSE),""),"")</f>
        <v/>
      </c>
      <c r="BO39" s="87" t="str">
        <f>IFERROR(IF(L39&lt;$AC$19,"",VLOOKUP(BT39&amp;", "&amp;AI39,tblMealPricesEJUTC[],3,FALSE)),"")</f>
        <v/>
      </c>
      <c r="BP39" s="87" t="str">
        <f>IFERROR(VLOOKUP(HotelTC&amp;", "&amp;AJ39,tblMealPricesEJUTC[],3,FALSE),"")</f>
        <v/>
      </c>
      <c r="BQ39" s="87" t="str">
        <f>IFERROR(VLOOKUP(HotelTC&amp;", "&amp;AK39,tblMealPricesEJUTC[],3,FALSE),"")</f>
        <v/>
      </c>
      <c r="BR39" s="91">
        <f t="shared" si="3"/>
        <v>0</v>
      </c>
      <c r="BS39" s="91">
        <f t="shared" si="4"/>
        <v>0</v>
      </c>
      <c r="BT39" s="91">
        <f t="shared" si="5"/>
        <v>0</v>
      </c>
      <c r="BU39" s="91">
        <f t="shared" si="9"/>
        <v>0</v>
      </c>
      <c r="BV39" s="91">
        <f t="shared" si="6"/>
        <v>0</v>
      </c>
      <c r="BW39" s="91">
        <f t="shared" si="7"/>
        <v>0</v>
      </c>
      <c r="BX39" s="91">
        <f t="shared" si="8"/>
        <v>0</v>
      </c>
    </row>
    <row r="40" spans="1:76">
      <c r="A40">
        <v>21</v>
      </c>
      <c r="B40" s="1"/>
      <c r="C40" s="2"/>
      <c r="D40" s="3"/>
      <c r="E40" s="4"/>
      <c r="F40" s="6"/>
      <c r="G40" s="2"/>
      <c r="H40" s="2"/>
      <c r="I40" s="2"/>
      <c r="J40" s="4"/>
      <c r="K40" s="7"/>
      <c r="L40" s="8"/>
      <c r="M40" s="9"/>
      <c r="N40" s="10"/>
      <c r="O40" s="2"/>
      <c r="P40" s="10"/>
      <c r="Q40" s="11"/>
      <c r="R40" s="8"/>
      <c r="S40" s="9"/>
      <c r="T40" s="10"/>
      <c r="U40" s="10"/>
      <c r="V40" s="2"/>
      <c r="W40" s="11"/>
      <c r="X40" s="6"/>
      <c r="Y40" s="5"/>
      <c r="Z40" s="26"/>
      <c r="AA40" s="26"/>
      <c r="AB40" s="26"/>
      <c r="AC40" s="26"/>
      <c r="AD40" s="26"/>
      <c r="AE40" s="26"/>
      <c r="AF40" s="23"/>
      <c r="AG40" s="23"/>
      <c r="AH40" s="23"/>
      <c r="AI40" s="23"/>
      <c r="AJ40" s="23"/>
      <c r="AK40" s="23"/>
      <c r="AL40" s="86" t="str">
        <f t="shared" si="0"/>
        <v/>
      </c>
      <c r="AM40" s="87">
        <f>IFERROR(IF(AND(VLOOKUP(D40,tblWeightOrFunction[],6,FALSE)=Parameters!$F$3,L40&lt;$AC$19,NOT(VLOOKUP(D40,tblWeightOrFunction[],4,FALSE)=Parameters!$D$3)),20,0),0)</f>
        <v>0</v>
      </c>
      <c r="AN40" s="27">
        <f>IFERROR(IF(AND(VLOOKUP(D40,tblWeightOrFunction[],6,FALSE)=Parameters!$F$3,R40&gt;$AE$19),1,0),0)</f>
        <v>0</v>
      </c>
      <c r="AO40" s="87">
        <f>IF(AN40=1,IF(ContFede=Parameters!EJU,30,100),0)</f>
        <v>0</v>
      </c>
      <c r="AP40" s="87">
        <f t="shared" si="1"/>
        <v>0</v>
      </c>
      <c r="AQ40" s="87">
        <f t="shared" si="2"/>
        <v>0</v>
      </c>
      <c r="AR40" s="87" t="str">
        <f>IFERROR(VLOOKUP(Z40,tblRoomPricesSunday[],4,FALSE),"")</f>
        <v/>
      </c>
      <c r="AS40" s="87" t="str">
        <f>IFERROR(VLOOKUP(AA40,tblRoomPricesSunday[],4,FALSE),"")</f>
        <v/>
      </c>
      <c r="AT40" s="87" t="str">
        <f>IFERROR(VLOOKUP(AB40,tblRoomPricesSunday[],4,FALSE),"")</f>
        <v/>
      </c>
      <c r="AU40" s="87" t="str">
        <f>IFERROR(VLOOKUP(AC40,tblRoomPricesSunday[],4,FALSE),"")</f>
        <v/>
      </c>
      <c r="AV40" s="87" t="str">
        <f>IFERROR(VLOOKUP(AD40,tblRoomPricesSunday[],4,FALSE),"")</f>
        <v/>
      </c>
      <c r="AW40" s="92" t="str">
        <f>IFERROR(VLOOKUP(AE40,tblRoomPricesSunday[],4,FALSE),"")</f>
        <v/>
      </c>
      <c r="AX40" s="87" t="str">
        <f>IFERROR(VLOOKUP(HotelEJO&amp;", "&amp;AF40,tblMealPricesEJO[],4,FALSE),"")</f>
        <v/>
      </c>
      <c r="AY40" s="87" t="str">
        <f>IFERROR(VLOOKUP(HotelEJO&amp;", "&amp;AG40,tblMealPricesEJO[],4,FALSE),"")</f>
        <v/>
      </c>
      <c r="AZ40" s="87" t="str">
        <f>IFERROR(VLOOKUP(HotelEJO&amp;", "&amp;AH40,tblMealPricesEJO[],4,FALSE),"")</f>
        <v/>
      </c>
      <c r="BA40" s="87" t="str">
        <f>IFERROR(IF(L40&lt;$AC$19,VLOOKUP(BT40&amp;", "&amp;AI40,tblMealPricesEJO[],4,FALSE),""),"")</f>
        <v/>
      </c>
      <c r="BB40" s="87" t="str">
        <f>IFERROR(IF(L40&lt;$AC$19,"",VLOOKUP(BT40&amp;", "&amp;AI40,tblMealPricesEJUTC[],4,FALSE)),"")</f>
        <v/>
      </c>
      <c r="BC40" s="87" t="str">
        <f>IFERROR(VLOOKUP(HotelTC&amp;", "&amp;AJ40,tblMealPricesEJUTC[],4,FALSE),"")</f>
        <v/>
      </c>
      <c r="BD40" s="87" t="str">
        <f>IFERROR(VLOOKUP(HotelTC&amp;", "&amp;AK40,tblMealPricesEJUTC[],4,FALSE),"")</f>
        <v/>
      </c>
      <c r="BE40" s="93" t="str">
        <f>IFERROR(VLOOKUP(Z40,tblRoomPricesSunday[],2,FALSE),"")</f>
        <v/>
      </c>
      <c r="BF40" s="27" t="str">
        <f>IFERROR(VLOOKUP(AA40,tblRoomPricesSunday[],2,FALSE),"")</f>
        <v/>
      </c>
      <c r="BG40" s="27" t="str">
        <f>IFERROR(VLOOKUP(AB40,tblRoomPricesSunday[],2,FALSE),"")</f>
        <v/>
      </c>
      <c r="BH40" s="27" t="str">
        <f>IFERROR(VLOOKUP(AC40,tblRoomPricesSunday[],2,FALSE),"")</f>
        <v/>
      </c>
      <c r="BI40" s="27" t="str">
        <f>IFERROR(VLOOKUP(AD40,tblRoomPricesSunday[],2,FALSE),"")</f>
        <v/>
      </c>
      <c r="BJ40" s="94" t="str">
        <f>IFERROR(VLOOKUP(AE40,tblRoomPricesSunday[],2,FALSE),"")</f>
        <v/>
      </c>
      <c r="BK40" s="87" t="str">
        <f>IFERROR(VLOOKUP(HotelEJO&amp;", "&amp;AF40,tblMealPricesEJO[],3,FALSE),"")</f>
        <v/>
      </c>
      <c r="BL40" s="87" t="str">
        <f>IFERROR(VLOOKUP(HotelEJO&amp;", "&amp;AG40,tblMealPricesEJO[],3,FALSE),"")</f>
        <v/>
      </c>
      <c r="BM40" s="87" t="str">
        <f>IFERROR(VLOOKUP(HotelEJO&amp;", "&amp;AH40,tblMealPricesEJO[],3,FALSE),"")</f>
        <v/>
      </c>
      <c r="BN40" s="87" t="str">
        <f>IFERROR(IF(L40&lt;$AC$19,VLOOKUP(BT40&amp;", "&amp;AI40,tblMealPricesEJO[],3,FALSE),""),"")</f>
        <v/>
      </c>
      <c r="BO40" s="87" t="str">
        <f>IFERROR(IF(L40&lt;$AC$19,"",VLOOKUP(BT40&amp;", "&amp;AI40,tblMealPricesEJUTC[],3,FALSE)),"")</f>
        <v/>
      </c>
      <c r="BP40" s="87" t="str">
        <f>IFERROR(VLOOKUP(HotelTC&amp;", "&amp;AJ40,tblMealPricesEJUTC[],3,FALSE),"")</f>
        <v/>
      </c>
      <c r="BQ40" s="87" t="str">
        <f>IFERROR(VLOOKUP(HotelTC&amp;", "&amp;AK40,tblMealPricesEJUTC[],3,FALSE),"")</f>
        <v/>
      </c>
      <c r="BR40" s="91">
        <f t="shared" si="3"/>
        <v>0</v>
      </c>
      <c r="BS40" s="91">
        <f t="shared" si="4"/>
        <v>0</v>
      </c>
      <c r="BT40" s="91">
        <f t="shared" si="5"/>
        <v>0</v>
      </c>
      <c r="BU40" s="91">
        <f t="shared" si="9"/>
        <v>0</v>
      </c>
      <c r="BV40" s="91">
        <f t="shared" si="6"/>
        <v>0</v>
      </c>
      <c r="BW40" s="91">
        <f t="shared" si="7"/>
        <v>0</v>
      </c>
      <c r="BX40" s="91">
        <f t="shared" si="8"/>
        <v>0</v>
      </c>
    </row>
    <row r="41" spans="1:76">
      <c r="A41">
        <v>22</v>
      </c>
      <c r="B41" s="1"/>
      <c r="C41" s="2"/>
      <c r="D41" s="3"/>
      <c r="E41" s="4"/>
      <c r="F41" s="6"/>
      <c r="G41" s="2"/>
      <c r="H41" s="2"/>
      <c r="I41" s="2"/>
      <c r="J41" s="4"/>
      <c r="K41" s="7"/>
      <c r="L41" s="8"/>
      <c r="M41" s="9"/>
      <c r="N41" s="10"/>
      <c r="O41" s="2"/>
      <c r="P41" s="10"/>
      <c r="Q41" s="11"/>
      <c r="R41" s="8"/>
      <c r="S41" s="9"/>
      <c r="T41" s="10"/>
      <c r="U41" s="10"/>
      <c r="V41" s="2"/>
      <c r="W41" s="11"/>
      <c r="X41" s="6"/>
      <c r="Y41" s="5"/>
      <c r="Z41" s="26"/>
      <c r="AA41" s="26"/>
      <c r="AB41" s="26"/>
      <c r="AC41" s="26"/>
      <c r="AD41" s="26"/>
      <c r="AE41" s="26"/>
      <c r="AF41" s="23"/>
      <c r="AG41" s="23"/>
      <c r="AH41" s="23"/>
      <c r="AI41" s="23"/>
      <c r="AJ41" s="23"/>
      <c r="AK41" s="23"/>
      <c r="AL41" s="86" t="str">
        <f t="shared" si="0"/>
        <v/>
      </c>
      <c r="AM41" s="87">
        <f>IFERROR(IF(AND(VLOOKUP(D41,tblWeightOrFunction[],6,FALSE)=Parameters!$F$3,L41&lt;$AC$19,NOT(VLOOKUP(D41,tblWeightOrFunction[],4,FALSE)=Parameters!$D$3)),20,0),0)</f>
        <v>0</v>
      </c>
      <c r="AN41" s="27">
        <f>IFERROR(IF(AND(VLOOKUP(D41,tblWeightOrFunction[],6,FALSE)=Parameters!$F$3,R41&gt;$AE$19),1,0),0)</f>
        <v>0</v>
      </c>
      <c r="AO41" s="87">
        <f>IF(AN41=1,IF(ContFede=Parameters!EJU,30,100),0)</f>
        <v>0</v>
      </c>
      <c r="AP41" s="87">
        <f t="shared" si="1"/>
        <v>0</v>
      </c>
      <c r="AQ41" s="87">
        <f t="shared" si="2"/>
        <v>0</v>
      </c>
      <c r="AR41" s="87" t="str">
        <f>IFERROR(VLOOKUP(Z41,tblRoomPricesSunday[],4,FALSE),"")</f>
        <v/>
      </c>
      <c r="AS41" s="87" t="str">
        <f>IFERROR(VLOOKUP(AA41,tblRoomPricesSunday[],4,FALSE),"")</f>
        <v/>
      </c>
      <c r="AT41" s="87" t="str">
        <f>IFERROR(VLOOKUP(AB41,tblRoomPricesSunday[],4,FALSE),"")</f>
        <v/>
      </c>
      <c r="AU41" s="87" t="str">
        <f>IFERROR(VLOOKUP(AC41,tblRoomPricesSunday[],4,FALSE),"")</f>
        <v/>
      </c>
      <c r="AV41" s="87" t="str">
        <f>IFERROR(VLOOKUP(AD41,tblRoomPricesSunday[],4,FALSE),"")</f>
        <v/>
      </c>
      <c r="AW41" s="92" t="str">
        <f>IFERROR(VLOOKUP(AE41,tblRoomPricesSunday[],4,FALSE),"")</f>
        <v/>
      </c>
      <c r="AX41" s="87" t="str">
        <f>IFERROR(VLOOKUP(HotelEJO&amp;", "&amp;AF41,tblMealPricesEJO[],4,FALSE),"")</f>
        <v/>
      </c>
      <c r="AY41" s="87" t="str">
        <f>IFERROR(VLOOKUP(HotelEJO&amp;", "&amp;AG41,tblMealPricesEJO[],4,FALSE),"")</f>
        <v/>
      </c>
      <c r="AZ41" s="87" t="str">
        <f>IFERROR(VLOOKUP(HotelEJO&amp;", "&amp;AH41,tblMealPricesEJO[],4,FALSE),"")</f>
        <v/>
      </c>
      <c r="BA41" s="87" t="str">
        <f>IFERROR(IF(L41&lt;$AC$19,VLOOKUP(BT41&amp;", "&amp;AI41,tblMealPricesEJO[],4,FALSE),""),"")</f>
        <v/>
      </c>
      <c r="BB41" s="87" t="str">
        <f>IFERROR(IF(L41&lt;$AC$19,"",VLOOKUP(BT41&amp;", "&amp;AI41,tblMealPricesEJUTC[],4,FALSE)),"")</f>
        <v/>
      </c>
      <c r="BC41" s="87" t="str">
        <f>IFERROR(VLOOKUP(HotelTC&amp;", "&amp;AJ41,tblMealPricesEJUTC[],4,FALSE),"")</f>
        <v/>
      </c>
      <c r="BD41" s="87" t="str">
        <f>IFERROR(VLOOKUP(HotelTC&amp;", "&amp;AK41,tblMealPricesEJUTC[],4,FALSE),"")</f>
        <v/>
      </c>
      <c r="BE41" s="93" t="str">
        <f>IFERROR(VLOOKUP(Z41,tblRoomPricesSunday[],2,FALSE),"")</f>
        <v/>
      </c>
      <c r="BF41" s="27" t="str">
        <f>IFERROR(VLOOKUP(AA41,tblRoomPricesSunday[],2,FALSE),"")</f>
        <v/>
      </c>
      <c r="BG41" s="27" t="str">
        <f>IFERROR(VLOOKUP(AB41,tblRoomPricesSunday[],2,FALSE),"")</f>
        <v/>
      </c>
      <c r="BH41" s="27" t="str">
        <f>IFERROR(VLOOKUP(AC41,tblRoomPricesSunday[],2,FALSE),"")</f>
        <v/>
      </c>
      <c r="BI41" s="27" t="str">
        <f>IFERROR(VLOOKUP(AD41,tblRoomPricesSunday[],2,FALSE),"")</f>
        <v/>
      </c>
      <c r="BJ41" s="94" t="str">
        <f>IFERROR(VLOOKUP(AE41,tblRoomPricesSunday[],2,FALSE),"")</f>
        <v/>
      </c>
      <c r="BK41" s="87" t="str">
        <f>IFERROR(VLOOKUP(HotelEJO&amp;", "&amp;AF41,tblMealPricesEJO[],3,FALSE),"")</f>
        <v/>
      </c>
      <c r="BL41" s="87" t="str">
        <f>IFERROR(VLOOKUP(HotelEJO&amp;", "&amp;AG41,tblMealPricesEJO[],3,FALSE),"")</f>
        <v/>
      </c>
      <c r="BM41" s="87" t="str">
        <f>IFERROR(VLOOKUP(HotelEJO&amp;", "&amp;AH41,tblMealPricesEJO[],3,FALSE),"")</f>
        <v/>
      </c>
      <c r="BN41" s="87" t="str">
        <f>IFERROR(IF(L41&lt;$AC$19,VLOOKUP(BT41&amp;", "&amp;AI41,tblMealPricesEJO[],3,FALSE),""),"")</f>
        <v/>
      </c>
      <c r="BO41" s="87" t="str">
        <f>IFERROR(IF(L41&lt;$AC$19,"",VLOOKUP(BT41&amp;", "&amp;AI41,tblMealPricesEJUTC[],3,FALSE)),"")</f>
        <v/>
      </c>
      <c r="BP41" s="87" t="str">
        <f>IFERROR(VLOOKUP(HotelTC&amp;", "&amp;AJ41,tblMealPricesEJUTC[],3,FALSE),"")</f>
        <v/>
      </c>
      <c r="BQ41" s="87" t="str">
        <f>IFERROR(VLOOKUP(HotelTC&amp;", "&amp;AK41,tblMealPricesEJUTC[],3,FALSE),"")</f>
        <v/>
      </c>
      <c r="BR41" s="91">
        <f t="shared" si="3"/>
        <v>0</v>
      </c>
      <c r="BS41" s="91">
        <f t="shared" si="4"/>
        <v>0</v>
      </c>
      <c r="BT41" s="91">
        <f t="shared" si="5"/>
        <v>0</v>
      </c>
      <c r="BU41" s="91">
        <f t="shared" si="9"/>
        <v>0</v>
      </c>
      <c r="BV41" s="91">
        <f t="shared" si="6"/>
        <v>0</v>
      </c>
      <c r="BW41" s="91">
        <f t="shared" si="7"/>
        <v>0</v>
      </c>
      <c r="BX41" s="91">
        <f t="shared" si="8"/>
        <v>0</v>
      </c>
    </row>
    <row r="42" spans="1:76">
      <c r="A42">
        <v>23</v>
      </c>
      <c r="B42" s="1"/>
      <c r="C42" s="2"/>
      <c r="D42" s="3"/>
      <c r="E42" s="4"/>
      <c r="F42" s="6"/>
      <c r="G42" s="2"/>
      <c r="H42" s="2"/>
      <c r="I42" s="2"/>
      <c r="J42" s="4"/>
      <c r="K42" s="7"/>
      <c r="L42" s="8"/>
      <c r="M42" s="9"/>
      <c r="N42" s="10"/>
      <c r="O42" s="2"/>
      <c r="P42" s="10"/>
      <c r="Q42" s="11"/>
      <c r="R42" s="8"/>
      <c r="S42" s="9"/>
      <c r="T42" s="10"/>
      <c r="U42" s="10"/>
      <c r="V42" s="2"/>
      <c r="W42" s="11"/>
      <c r="X42" s="6"/>
      <c r="Y42" s="5"/>
      <c r="Z42" s="26"/>
      <c r="AA42" s="26"/>
      <c r="AB42" s="26"/>
      <c r="AC42" s="26"/>
      <c r="AD42" s="26"/>
      <c r="AE42" s="26"/>
      <c r="AF42" s="23"/>
      <c r="AG42" s="23"/>
      <c r="AH42" s="23"/>
      <c r="AI42" s="23"/>
      <c r="AJ42" s="23"/>
      <c r="AK42" s="23"/>
      <c r="AL42" s="86" t="str">
        <f t="shared" si="0"/>
        <v/>
      </c>
      <c r="AM42" s="87">
        <f>IFERROR(IF(AND(VLOOKUP(D42,tblWeightOrFunction[],6,FALSE)=Parameters!$F$3,L42&lt;$AC$19,NOT(VLOOKUP(D42,tblWeightOrFunction[],4,FALSE)=Parameters!$D$3)),20,0),0)</f>
        <v>0</v>
      </c>
      <c r="AN42" s="27">
        <f>IFERROR(IF(AND(VLOOKUP(D42,tblWeightOrFunction[],6,FALSE)=Parameters!$F$3,R42&gt;$AE$19),1,0),0)</f>
        <v>0</v>
      </c>
      <c r="AO42" s="87">
        <f>IF(AN42=1,IF(ContFede=Parameters!EJU,30,100),0)</f>
        <v>0</v>
      </c>
      <c r="AP42" s="87">
        <f t="shared" si="1"/>
        <v>0</v>
      </c>
      <c r="AQ42" s="87">
        <f t="shared" si="2"/>
        <v>0</v>
      </c>
      <c r="AR42" s="87" t="str">
        <f>IFERROR(VLOOKUP(Z42,tblRoomPricesSunday[],4,FALSE),"")</f>
        <v/>
      </c>
      <c r="AS42" s="87" t="str">
        <f>IFERROR(VLOOKUP(AA42,tblRoomPricesSunday[],4,FALSE),"")</f>
        <v/>
      </c>
      <c r="AT42" s="87" t="str">
        <f>IFERROR(VLOOKUP(AB42,tblRoomPricesSunday[],4,FALSE),"")</f>
        <v/>
      </c>
      <c r="AU42" s="87" t="str">
        <f>IFERROR(VLOOKUP(AC42,tblRoomPricesSunday[],4,FALSE),"")</f>
        <v/>
      </c>
      <c r="AV42" s="87" t="str">
        <f>IFERROR(VLOOKUP(AD42,tblRoomPricesSunday[],4,FALSE),"")</f>
        <v/>
      </c>
      <c r="AW42" s="92" t="str">
        <f>IFERROR(VLOOKUP(AE42,tblRoomPricesSunday[],4,FALSE),"")</f>
        <v/>
      </c>
      <c r="AX42" s="87" t="str">
        <f>IFERROR(VLOOKUP(HotelEJO&amp;", "&amp;AF42,tblMealPricesEJO[],4,FALSE),"")</f>
        <v/>
      </c>
      <c r="AY42" s="87" t="str">
        <f>IFERROR(VLOOKUP(HotelEJO&amp;", "&amp;AG42,tblMealPricesEJO[],4,FALSE),"")</f>
        <v/>
      </c>
      <c r="AZ42" s="87" t="str">
        <f>IFERROR(VLOOKUP(HotelEJO&amp;", "&amp;AH42,tblMealPricesEJO[],4,FALSE),"")</f>
        <v/>
      </c>
      <c r="BA42" s="87" t="str">
        <f>IFERROR(IF(L42&lt;$AC$19,VLOOKUP(BT42&amp;", "&amp;AI42,tblMealPricesEJO[],4,FALSE),""),"")</f>
        <v/>
      </c>
      <c r="BB42" s="87" t="str">
        <f>IFERROR(IF(L42&lt;$AC$19,"",VLOOKUP(BT42&amp;", "&amp;AI42,tblMealPricesEJUTC[],4,FALSE)),"")</f>
        <v/>
      </c>
      <c r="BC42" s="87" t="str">
        <f>IFERROR(VLOOKUP(HotelTC&amp;", "&amp;AJ42,tblMealPricesEJUTC[],4,FALSE),"")</f>
        <v/>
      </c>
      <c r="BD42" s="87" t="str">
        <f>IFERROR(VLOOKUP(HotelTC&amp;", "&amp;AK42,tblMealPricesEJUTC[],4,FALSE),"")</f>
        <v/>
      </c>
      <c r="BE42" s="93" t="str">
        <f>IFERROR(VLOOKUP(Z42,tblRoomPricesSunday[],2,FALSE),"")</f>
        <v/>
      </c>
      <c r="BF42" s="27" t="str">
        <f>IFERROR(VLOOKUP(AA42,tblRoomPricesSunday[],2,FALSE),"")</f>
        <v/>
      </c>
      <c r="BG42" s="27" t="str">
        <f>IFERROR(VLOOKUP(AB42,tblRoomPricesSunday[],2,FALSE),"")</f>
        <v/>
      </c>
      <c r="BH42" s="27" t="str">
        <f>IFERROR(VLOOKUP(AC42,tblRoomPricesSunday[],2,FALSE),"")</f>
        <v/>
      </c>
      <c r="BI42" s="27" t="str">
        <f>IFERROR(VLOOKUP(AD42,tblRoomPricesSunday[],2,FALSE),"")</f>
        <v/>
      </c>
      <c r="BJ42" s="94" t="str">
        <f>IFERROR(VLOOKUP(AE42,tblRoomPricesSunday[],2,FALSE),"")</f>
        <v/>
      </c>
      <c r="BK42" s="87" t="str">
        <f>IFERROR(VLOOKUP(HotelEJO&amp;", "&amp;AF42,tblMealPricesEJO[],3,FALSE),"")</f>
        <v/>
      </c>
      <c r="BL42" s="87" t="str">
        <f>IFERROR(VLOOKUP(HotelEJO&amp;", "&amp;AG42,tblMealPricesEJO[],3,FALSE),"")</f>
        <v/>
      </c>
      <c r="BM42" s="87" t="str">
        <f>IFERROR(VLOOKUP(HotelEJO&amp;", "&amp;AH42,tblMealPricesEJO[],3,FALSE),"")</f>
        <v/>
      </c>
      <c r="BN42" s="87" t="str">
        <f>IFERROR(IF(L42&lt;$AC$19,VLOOKUP(BT42&amp;", "&amp;AI42,tblMealPricesEJO[],3,FALSE),""),"")</f>
        <v/>
      </c>
      <c r="BO42" s="87" t="str">
        <f>IFERROR(IF(L42&lt;$AC$19,"",VLOOKUP(BT42&amp;", "&amp;AI42,tblMealPricesEJUTC[],3,FALSE)),"")</f>
        <v/>
      </c>
      <c r="BP42" s="87" t="str">
        <f>IFERROR(VLOOKUP(HotelTC&amp;", "&amp;AJ42,tblMealPricesEJUTC[],3,FALSE),"")</f>
        <v/>
      </c>
      <c r="BQ42" s="87" t="str">
        <f>IFERROR(VLOOKUP(HotelTC&amp;", "&amp;AK42,tblMealPricesEJUTC[],3,FALSE),"")</f>
        <v/>
      </c>
      <c r="BR42" s="91">
        <f t="shared" si="3"/>
        <v>0</v>
      </c>
      <c r="BS42" s="91">
        <f t="shared" si="4"/>
        <v>0</v>
      </c>
      <c r="BT42" s="91">
        <f t="shared" si="5"/>
        <v>0</v>
      </c>
      <c r="BU42" s="91">
        <f t="shared" si="9"/>
        <v>0</v>
      </c>
      <c r="BV42" s="91">
        <f t="shared" si="6"/>
        <v>0</v>
      </c>
      <c r="BW42" s="91">
        <f t="shared" si="7"/>
        <v>0</v>
      </c>
      <c r="BX42" s="91">
        <f t="shared" si="8"/>
        <v>0</v>
      </c>
    </row>
    <row r="43" spans="1:76">
      <c r="A43">
        <v>24</v>
      </c>
      <c r="B43" s="1"/>
      <c r="C43" s="2"/>
      <c r="D43" s="3"/>
      <c r="E43" s="4"/>
      <c r="F43" s="6"/>
      <c r="G43" s="2"/>
      <c r="H43" s="2"/>
      <c r="I43" s="2"/>
      <c r="J43" s="4"/>
      <c r="K43" s="7"/>
      <c r="L43" s="8"/>
      <c r="M43" s="9"/>
      <c r="N43" s="10"/>
      <c r="O43" s="2"/>
      <c r="P43" s="10"/>
      <c r="Q43" s="11"/>
      <c r="R43" s="8"/>
      <c r="S43" s="9"/>
      <c r="T43" s="10"/>
      <c r="U43" s="10"/>
      <c r="V43" s="2"/>
      <c r="W43" s="11"/>
      <c r="X43" s="6"/>
      <c r="Y43" s="5"/>
      <c r="Z43" s="26"/>
      <c r="AA43" s="26"/>
      <c r="AB43" s="26"/>
      <c r="AC43" s="26"/>
      <c r="AD43" s="26"/>
      <c r="AE43" s="26"/>
      <c r="AF43" s="23"/>
      <c r="AG43" s="23"/>
      <c r="AH43" s="23"/>
      <c r="AI43" s="23"/>
      <c r="AJ43" s="23"/>
      <c r="AK43" s="23"/>
      <c r="AL43" s="86" t="str">
        <f t="shared" si="0"/>
        <v/>
      </c>
      <c r="AM43" s="87">
        <f>IFERROR(IF(AND(VLOOKUP(D43,tblWeightOrFunction[],6,FALSE)=Parameters!$F$3,L43&lt;$AC$19,NOT(VLOOKUP(D43,tblWeightOrFunction[],4,FALSE)=Parameters!$D$3)),20,0),0)</f>
        <v>0</v>
      </c>
      <c r="AN43" s="27">
        <f>IFERROR(IF(AND(VLOOKUP(D43,tblWeightOrFunction[],6,FALSE)=Parameters!$F$3,R43&gt;$AE$19),1,0),0)</f>
        <v>0</v>
      </c>
      <c r="AO43" s="87">
        <f>IF(AN43=1,IF(ContFede=Parameters!EJU,30,100),0)</f>
        <v>0</v>
      </c>
      <c r="AP43" s="87">
        <f t="shared" si="1"/>
        <v>0</v>
      </c>
      <c r="AQ43" s="87">
        <f t="shared" si="2"/>
        <v>0</v>
      </c>
      <c r="AR43" s="87" t="str">
        <f>IFERROR(VLOOKUP(Z43,tblRoomPricesSunday[],4,FALSE),"")</f>
        <v/>
      </c>
      <c r="AS43" s="87" t="str">
        <f>IFERROR(VLOOKUP(AA43,tblRoomPricesSunday[],4,FALSE),"")</f>
        <v/>
      </c>
      <c r="AT43" s="87" t="str">
        <f>IFERROR(VLOOKUP(AB43,tblRoomPricesSunday[],4,FALSE),"")</f>
        <v/>
      </c>
      <c r="AU43" s="87" t="str">
        <f>IFERROR(VLOOKUP(AC43,tblRoomPricesSunday[],4,FALSE),"")</f>
        <v/>
      </c>
      <c r="AV43" s="87" t="str">
        <f>IFERROR(VLOOKUP(AD43,tblRoomPricesSunday[],4,FALSE),"")</f>
        <v/>
      </c>
      <c r="AW43" s="92" t="str">
        <f>IFERROR(VLOOKUP(AE43,tblRoomPricesSunday[],4,FALSE),"")</f>
        <v/>
      </c>
      <c r="AX43" s="87" t="str">
        <f>IFERROR(VLOOKUP(HotelEJO&amp;", "&amp;AF43,tblMealPricesEJO[],4,FALSE),"")</f>
        <v/>
      </c>
      <c r="AY43" s="87" t="str">
        <f>IFERROR(VLOOKUP(HotelEJO&amp;", "&amp;AG43,tblMealPricesEJO[],4,FALSE),"")</f>
        <v/>
      </c>
      <c r="AZ43" s="87" t="str">
        <f>IFERROR(VLOOKUP(HotelEJO&amp;", "&amp;AH43,tblMealPricesEJO[],4,FALSE),"")</f>
        <v/>
      </c>
      <c r="BA43" s="87" t="str">
        <f>IFERROR(IF(L43&lt;$AC$19,VLOOKUP(BT43&amp;", "&amp;AI43,tblMealPricesEJO[],4,FALSE),""),"")</f>
        <v/>
      </c>
      <c r="BB43" s="87" t="str">
        <f>IFERROR(IF(L43&lt;$AC$19,"",VLOOKUP(BT43&amp;", "&amp;AI43,tblMealPricesEJUTC[],4,FALSE)),"")</f>
        <v/>
      </c>
      <c r="BC43" s="87" t="str">
        <f>IFERROR(VLOOKUP(HotelTC&amp;", "&amp;AJ43,tblMealPricesEJUTC[],4,FALSE),"")</f>
        <v/>
      </c>
      <c r="BD43" s="87" t="str">
        <f>IFERROR(VLOOKUP(HotelTC&amp;", "&amp;AK43,tblMealPricesEJUTC[],4,FALSE),"")</f>
        <v/>
      </c>
      <c r="BE43" s="93" t="str">
        <f>IFERROR(VLOOKUP(Z43,tblRoomPricesSunday[],2,FALSE),"")</f>
        <v/>
      </c>
      <c r="BF43" s="27" t="str">
        <f>IFERROR(VLOOKUP(AA43,tblRoomPricesSunday[],2,FALSE),"")</f>
        <v/>
      </c>
      <c r="BG43" s="27" t="str">
        <f>IFERROR(VLOOKUP(AB43,tblRoomPricesSunday[],2,FALSE),"")</f>
        <v/>
      </c>
      <c r="BH43" s="27" t="str">
        <f>IFERROR(VLOOKUP(AC43,tblRoomPricesSunday[],2,FALSE),"")</f>
        <v/>
      </c>
      <c r="BI43" s="27" t="str">
        <f>IFERROR(VLOOKUP(AD43,tblRoomPricesSunday[],2,FALSE),"")</f>
        <v/>
      </c>
      <c r="BJ43" s="94" t="str">
        <f>IFERROR(VLOOKUP(AE43,tblRoomPricesSunday[],2,FALSE),"")</f>
        <v/>
      </c>
      <c r="BK43" s="87" t="str">
        <f>IFERROR(VLOOKUP(HotelEJO&amp;", "&amp;AF43,tblMealPricesEJO[],3,FALSE),"")</f>
        <v/>
      </c>
      <c r="BL43" s="87" t="str">
        <f>IFERROR(VLOOKUP(HotelEJO&amp;", "&amp;AG43,tblMealPricesEJO[],3,FALSE),"")</f>
        <v/>
      </c>
      <c r="BM43" s="87" t="str">
        <f>IFERROR(VLOOKUP(HotelEJO&amp;", "&amp;AH43,tblMealPricesEJO[],3,FALSE),"")</f>
        <v/>
      </c>
      <c r="BN43" s="87" t="str">
        <f>IFERROR(IF(L43&lt;$AC$19,VLOOKUP(BT43&amp;", "&amp;AI43,tblMealPricesEJO[],3,FALSE),""),"")</f>
        <v/>
      </c>
      <c r="BO43" s="87" t="str">
        <f>IFERROR(IF(L43&lt;$AC$19,"",VLOOKUP(BT43&amp;", "&amp;AI43,tblMealPricesEJUTC[],3,FALSE)),"")</f>
        <v/>
      </c>
      <c r="BP43" s="87" t="str">
        <f>IFERROR(VLOOKUP(HotelTC&amp;", "&amp;AJ43,tblMealPricesEJUTC[],3,FALSE),"")</f>
        <v/>
      </c>
      <c r="BQ43" s="87" t="str">
        <f>IFERROR(VLOOKUP(HotelTC&amp;", "&amp;AK43,tblMealPricesEJUTC[],3,FALSE),"")</f>
        <v/>
      </c>
      <c r="BR43" s="91">
        <f t="shared" si="3"/>
        <v>0</v>
      </c>
      <c r="BS43" s="91">
        <f t="shared" si="4"/>
        <v>0</v>
      </c>
      <c r="BT43" s="91">
        <f t="shared" si="5"/>
        <v>0</v>
      </c>
      <c r="BU43" s="91">
        <f t="shared" si="9"/>
        <v>0</v>
      </c>
      <c r="BV43" s="91">
        <f t="shared" si="6"/>
        <v>0</v>
      </c>
      <c r="BW43" s="91">
        <f t="shared" si="7"/>
        <v>0</v>
      </c>
      <c r="BX43" s="91">
        <f t="shared" si="8"/>
        <v>0</v>
      </c>
    </row>
    <row r="44" spans="1:76">
      <c r="A44">
        <v>25</v>
      </c>
      <c r="B44" s="1"/>
      <c r="C44" s="2"/>
      <c r="D44" s="3"/>
      <c r="E44" s="4"/>
      <c r="F44" s="6"/>
      <c r="G44" s="2"/>
      <c r="H44" s="2"/>
      <c r="I44" s="2"/>
      <c r="J44" s="4"/>
      <c r="K44" s="7"/>
      <c r="L44" s="8"/>
      <c r="M44" s="9"/>
      <c r="N44" s="10"/>
      <c r="O44" s="2"/>
      <c r="P44" s="10"/>
      <c r="Q44" s="11"/>
      <c r="R44" s="8"/>
      <c r="S44" s="9"/>
      <c r="T44" s="10"/>
      <c r="U44" s="10"/>
      <c r="V44" s="2"/>
      <c r="W44" s="11"/>
      <c r="X44" s="6"/>
      <c r="Y44" s="5"/>
      <c r="Z44" s="26"/>
      <c r="AA44" s="26"/>
      <c r="AB44" s="26"/>
      <c r="AC44" s="26"/>
      <c r="AD44" s="26"/>
      <c r="AE44" s="26"/>
      <c r="AF44" s="23"/>
      <c r="AG44" s="23"/>
      <c r="AH44" s="23"/>
      <c r="AI44" s="23"/>
      <c r="AJ44" s="23"/>
      <c r="AK44" s="23"/>
      <c r="AL44" s="86" t="str">
        <f t="shared" si="0"/>
        <v/>
      </c>
      <c r="AM44" s="87">
        <f>IFERROR(IF(AND(VLOOKUP(D44,tblWeightOrFunction[],6,FALSE)=Parameters!$F$3,L44&lt;$AC$19,NOT(VLOOKUP(D44,tblWeightOrFunction[],4,FALSE)=Parameters!$D$3)),20,0),0)</f>
        <v>0</v>
      </c>
      <c r="AN44" s="27">
        <f>IFERROR(IF(AND(VLOOKUP(D44,tblWeightOrFunction[],6,FALSE)=Parameters!$F$3,R44&gt;$AE$19),1,0),0)</f>
        <v>0</v>
      </c>
      <c r="AO44" s="87">
        <f>IF(AN44=1,IF(ContFede=Parameters!EJU,30,100),0)</f>
        <v>0</v>
      </c>
      <c r="AP44" s="87">
        <f t="shared" si="1"/>
        <v>0</v>
      </c>
      <c r="AQ44" s="87">
        <f t="shared" si="2"/>
        <v>0</v>
      </c>
      <c r="AR44" s="87" t="str">
        <f>IFERROR(VLOOKUP(Z44,tblRoomPricesSunday[],4,FALSE),"")</f>
        <v/>
      </c>
      <c r="AS44" s="87" t="str">
        <f>IFERROR(VLOOKUP(AA44,tblRoomPricesSunday[],4,FALSE),"")</f>
        <v/>
      </c>
      <c r="AT44" s="87" t="str">
        <f>IFERROR(VLOOKUP(AB44,tblRoomPricesSunday[],4,FALSE),"")</f>
        <v/>
      </c>
      <c r="AU44" s="87" t="str">
        <f>IFERROR(VLOOKUP(AC44,tblRoomPricesSunday[],4,FALSE),"")</f>
        <v/>
      </c>
      <c r="AV44" s="87" t="str">
        <f>IFERROR(VLOOKUP(AD44,tblRoomPricesSunday[],4,FALSE),"")</f>
        <v/>
      </c>
      <c r="AW44" s="92" t="str">
        <f>IFERROR(VLOOKUP(AE44,tblRoomPricesSunday[],4,FALSE),"")</f>
        <v/>
      </c>
      <c r="AX44" s="87" t="str">
        <f>IFERROR(VLOOKUP(HotelEJO&amp;", "&amp;AF44,tblMealPricesEJO[],4,FALSE),"")</f>
        <v/>
      </c>
      <c r="AY44" s="87" t="str">
        <f>IFERROR(VLOOKUP(HotelEJO&amp;", "&amp;AG44,tblMealPricesEJO[],4,FALSE),"")</f>
        <v/>
      </c>
      <c r="AZ44" s="87" t="str">
        <f>IFERROR(VLOOKUP(HotelEJO&amp;", "&amp;AH44,tblMealPricesEJO[],4,FALSE),"")</f>
        <v/>
      </c>
      <c r="BA44" s="87" t="str">
        <f>IFERROR(IF(L44&lt;$AC$19,VLOOKUP(BT44&amp;", "&amp;AI44,tblMealPricesEJO[],4,FALSE),""),"")</f>
        <v/>
      </c>
      <c r="BB44" s="87" t="str">
        <f>IFERROR(IF(L44&lt;$AC$19,"",VLOOKUP(BT44&amp;", "&amp;AI44,tblMealPricesEJUTC[],4,FALSE)),"")</f>
        <v/>
      </c>
      <c r="BC44" s="87" t="str">
        <f>IFERROR(VLOOKUP(HotelTC&amp;", "&amp;AJ44,tblMealPricesEJUTC[],4,FALSE),"")</f>
        <v/>
      </c>
      <c r="BD44" s="87" t="str">
        <f>IFERROR(VLOOKUP(HotelTC&amp;", "&amp;AK44,tblMealPricesEJUTC[],4,FALSE),"")</f>
        <v/>
      </c>
      <c r="BE44" s="93" t="str">
        <f>IFERROR(VLOOKUP(Z44,tblRoomPricesSunday[],2,FALSE),"")</f>
        <v/>
      </c>
      <c r="BF44" s="27" t="str">
        <f>IFERROR(VLOOKUP(AA44,tblRoomPricesSunday[],2,FALSE),"")</f>
        <v/>
      </c>
      <c r="BG44" s="27" t="str">
        <f>IFERROR(VLOOKUP(AB44,tblRoomPricesSunday[],2,FALSE),"")</f>
        <v/>
      </c>
      <c r="BH44" s="27" t="str">
        <f>IFERROR(VLOOKUP(AC44,tblRoomPricesSunday[],2,FALSE),"")</f>
        <v/>
      </c>
      <c r="BI44" s="27" t="str">
        <f>IFERROR(VLOOKUP(AD44,tblRoomPricesSunday[],2,FALSE),"")</f>
        <v/>
      </c>
      <c r="BJ44" s="94" t="str">
        <f>IFERROR(VLOOKUP(AE44,tblRoomPricesSunday[],2,FALSE),"")</f>
        <v/>
      </c>
      <c r="BK44" s="87" t="str">
        <f>IFERROR(VLOOKUP(HotelEJO&amp;", "&amp;AF44,tblMealPricesEJO[],3,FALSE),"")</f>
        <v/>
      </c>
      <c r="BL44" s="87" t="str">
        <f>IFERROR(VLOOKUP(HotelEJO&amp;", "&amp;AG44,tblMealPricesEJO[],3,FALSE),"")</f>
        <v/>
      </c>
      <c r="BM44" s="87" t="str">
        <f>IFERROR(VLOOKUP(HotelEJO&amp;", "&amp;AH44,tblMealPricesEJO[],3,FALSE),"")</f>
        <v/>
      </c>
      <c r="BN44" s="87" t="str">
        <f>IFERROR(IF(L44&lt;$AC$19,VLOOKUP(BT44&amp;", "&amp;AI44,tblMealPricesEJO[],3,FALSE),""),"")</f>
        <v/>
      </c>
      <c r="BO44" s="87" t="str">
        <f>IFERROR(IF(L44&lt;$AC$19,"",VLOOKUP(BT44&amp;", "&amp;AI44,tblMealPricesEJUTC[],3,FALSE)),"")</f>
        <v/>
      </c>
      <c r="BP44" s="87" t="str">
        <f>IFERROR(VLOOKUP(HotelTC&amp;", "&amp;AJ44,tblMealPricesEJUTC[],3,FALSE),"")</f>
        <v/>
      </c>
      <c r="BQ44" s="87" t="str">
        <f>IFERROR(VLOOKUP(HotelTC&amp;", "&amp;AK44,tblMealPricesEJUTC[],3,FALSE),"")</f>
        <v/>
      </c>
      <c r="BR44" s="91">
        <f t="shared" si="3"/>
        <v>0</v>
      </c>
      <c r="BS44" s="91">
        <f t="shared" si="4"/>
        <v>0</v>
      </c>
      <c r="BT44" s="91">
        <f t="shared" si="5"/>
        <v>0</v>
      </c>
      <c r="BU44" s="91">
        <f t="shared" si="9"/>
        <v>0</v>
      </c>
      <c r="BV44" s="91">
        <f t="shared" si="6"/>
        <v>0</v>
      </c>
      <c r="BW44" s="91">
        <f t="shared" si="7"/>
        <v>0</v>
      </c>
      <c r="BX44" s="91">
        <f t="shared" si="8"/>
        <v>0</v>
      </c>
    </row>
    <row r="45" spans="1:76">
      <c r="A45">
        <v>26</v>
      </c>
      <c r="B45" s="1"/>
      <c r="C45" s="2"/>
      <c r="D45" s="3"/>
      <c r="E45" s="4"/>
      <c r="F45" s="6"/>
      <c r="G45" s="2"/>
      <c r="H45" s="2"/>
      <c r="I45" s="2"/>
      <c r="J45" s="4"/>
      <c r="K45" s="7"/>
      <c r="L45" s="8"/>
      <c r="M45" s="9"/>
      <c r="N45" s="10"/>
      <c r="O45" s="2"/>
      <c r="P45" s="10"/>
      <c r="Q45" s="11"/>
      <c r="R45" s="8"/>
      <c r="S45" s="9"/>
      <c r="T45" s="10"/>
      <c r="U45" s="10"/>
      <c r="V45" s="2"/>
      <c r="W45" s="11"/>
      <c r="X45" s="6"/>
      <c r="Y45" s="5"/>
      <c r="Z45" s="26"/>
      <c r="AA45" s="26"/>
      <c r="AB45" s="26"/>
      <c r="AC45" s="26"/>
      <c r="AD45" s="26"/>
      <c r="AE45" s="26"/>
      <c r="AF45" s="23"/>
      <c r="AG45" s="23"/>
      <c r="AH45" s="23"/>
      <c r="AI45" s="23"/>
      <c r="AJ45" s="23"/>
      <c r="AK45" s="23"/>
      <c r="AL45" s="86" t="str">
        <f t="shared" si="0"/>
        <v/>
      </c>
      <c r="AM45" s="87">
        <f>IFERROR(IF(AND(VLOOKUP(D45,tblWeightOrFunction[],6,FALSE)=Parameters!$F$3,L45&lt;$AC$19,NOT(VLOOKUP(D45,tblWeightOrFunction[],4,FALSE)=Parameters!$D$3)),20,0),0)</f>
        <v>0</v>
      </c>
      <c r="AN45" s="27">
        <f>IFERROR(IF(AND(VLOOKUP(D45,tblWeightOrFunction[],6,FALSE)=Parameters!$F$3,R45&gt;$AE$19),1,0),0)</f>
        <v>0</v>
      </c>
      <c r="AO45" s="87">
        <f>IF(AN45=1,IF(ContFede=Parameters!EJU,30,100),0)</f>
        <v>0</v>
      </c>
      <c r="AP45" s="87">
        <f t="shared" si="1"/>
        <v>0</v>
      </c>
      <c r="AQ45" s="87">
        <f t="shared" si="2"/>
        <v>0</v>
      </c>
      <c r="AR45" s="87" t="str">
        <f>IFERROR(VLOOKUP(Z45,tblRoomPricesSunday[],4,FALSE),"")</f>
        <v/>
      </c>
      <c r="AS45" s="87" t="str">
        <f>IFERROR(VLOOKUP(AA45,tblRoomPricesSunday[],4,FALSE),"")</f>
        <v/>
      </c>
      <c r="AT45" s="87" t="str">
        <f>IFERROR(VLOOKUP(AB45,tblRoomPricesSunday[],4,FALSE),"")</f>
        <v/>
      </c>
      <c r="AU45" s="87" t="str">
        <f>IFERROR(VLOOKUP(AC45,tblRoomPricesSunday[],4,FALSE),"")</f>
        <v/>
      </c>
      <c r="AV45" s="87" t="str">
        <f>IFERROR(VLOOKUP(AD45,tblRoomPricesSunday[],4,FALSE),"")</f>
        <v/>
      </c>
      <c r="AW45" s="92" t="str">
        <f>IFERROR(VLOOKUP(AE45,tblRoomPricesSunday[],4,FALSE),"")</f>
        <v/>
      </c>
      <c r="AX45" s="87" t="str">
        <f>IFERROR(VLOOKUP(HotelEJO&amp;", "&amp;AF45,tblMealPricesEJO[],4,FALSE),"")</f>
        <v/>
      </c>
      <c r="AY45" s="87" t="str">
        <f>IFERROR(VLOOKUP(HotelEJO&amp;", "&amp;AG45,tblMealPricesEJO[],4,FALSE),"")</f>
        <v/>
      </c>
      <c r="AZ45" s="87" t="str">
        <f>IFERROR(VLOOKUP(HotelEJO&amp;", "&amp;AH45,tblMealPricesEJO[],4,FALSE),"")</f>
        <v/>
      </c>
      <c r="BA45" s="87" t="str">
        <f>IFERROR(IF(L45&lt;$AC$19,VLOOKUP(BT45&amp;", "&amp;AI45,tblMealPricesEJO[],4,FALSE),""),"")</f>
        <v/>
      </c>
      <c r="BB45" s="87" t="str">
        <f>IFERROR(IF(L45&lt;$AC$19,"",VLOOKUP(BT45&amp;", "&amp;AI45,tblMealPricesEJUTC[],4,FALSE)),"")</f>
        <v/>
      </c>
      <c r="BC45" s="87" t="str">
        <f>IFERROR(VLOOKUP(HotelTC&amp;", "&amp;AJ45,tblMealPricesEJUTC[],4,FALSE),"")</f>
        <v/>
      </c>
      <c r="BD45" s="87" t="str">
        <f>IFERROR(VLOOKUP(HotelTC&amp;", "&amp;AK45,tblMealPricesEJUTC[],4,FALSE),"")</f>
        <v/>
      </c>
      <c r="BE45" s="93" t="str">
        <f>IFERROR(VLOOKUP(Z45,tblRoomPricesSunday[],2,FALSE),"")</f>
        <v/>
      </c>
      <c r="BF45" s="27" t="str">
        <f>IFERROR(VLOOKUP(AA45,tblRoomPricesSunday[],2,FALSE),"")</f>
        <v/>
      </c>
      <c r="BG45" s="27" t="str">
        <f>IFERROR(VLOOKUP(AB45,tblRoomPricesSunday[],2,FALSE),"")</f>
        <v/>
      </c>
      <c r="BH45" s="27" t="str">
        <f>IFERROR(VLOOKUP(AC45,tblRoomPricesSunday[],2,FALSE),"")</f>
        <v/>
      </c>
      <c r="BI45" s="27" t="str">
        <f>IFERROR(VLOOKUP(AD45,tblRoomPricesSunday[],2,FALSE),"")</f>
        <v/>
      </c>
      <c r="BJ45" s="94" t="str">
        <f>IFERROR(VLOOKUP(AE45,tblRoomPricesSunday[],2,FALSE),"")</f>
        <v/>
      </c>
      <c r="BK45" s="87" t="str">
        <f>IFERROR(VLOOKUP(HotelEJO&amp;", "&amp;AF45,tblMealPricesEJO[],3,FALSE),"")</f>
        <v/>
      </c>
      <c r="BL45" s="87" t="str">
        <f>IFERROR(VLOOKUP(HotelEJO&amp;", "&amp;AG45,tblMealPricesEJO[],3,FALSE),"")</f>
        <v/>
      </c>
      <c r="BM45" s="87" t="str">
        <f>IFERROR(VLOOKUP(HotelEJO&amp;", "&amp;AH45,tblMealPricesEJO[],3,FALSE),"")</f>
        <v/>
      </c>
      <c r="BN45" s="87" t="str">
        <f>IFERROR(IF(L45&lt;$AC$19,VLOOKUP(BT45&amp;", "&amp;AI45,tblMealPricesEJO[],3,FALSE),""),"")</f>
        <v/>
      </c>
      <c r="BO45" s="87" t="str">
        <f>IFERROR(IF(L45&lt;$AC$19,"",VLOOKUP(BT45&amp;", "&amp;AI45,tblMealPricesEJUTC[],3,FALSE)),"")</f>
        <v/>
      </c>
      <c r="BP45" s="87" t="str">
        <f>IFERROR(VLOOKUP(HotelTC&amp;", "&amp;AJ45,tblMealPricesEJUTC[],3,FALSE),"")</f>
        <v/>
      </c>
      <c r="BQ45" s="87" t="str">
        <f>IFERROR(VLOOKUP(HotelTC&amp;", "&amp;AK45,tblMealPricesEJUTC[],3,FALSE),"")</f>
        <v/>
      </c>
      <c r="BR45" s="91">
        <f t="shared" si="3"/>
        <v>0</v>
      </c>
      <c r="BS45" s="91">
        <f t="shared" si="4"/>
        <v>0</v>
      </c>
      <c r="BT45" s="91">
        <f t="shared" si="5"/>
        <v>0</v>
      </c>
      <c r="BU45" s="91">
        <f t="shared" si="9"/>
        <v>0</v>
      </c>
      <c r="BV45" s="91">
        <f t="shared" si="6"/>
        <v>0</v>
      </c>
      <c r="BW45" s="91">
        <f t="shared" si="7"/>
        <v>0</v>
      </c>
      <c r="BX45" s="91">
        <f t="shared" si="8"/>
        <v>0</v>
      </c>
    </row>
    <row r="46" spans="1:76">
      <c r="A46">
        <v>27</v>
      </c>
      <c r="B46" s="1"/>
      <c r="C46" s="2"/>
      <c r="D46" s="3"/>
      <c r="E46" s="4"/>
      <c r="F46" s="6"/>
      <c r="G46" s="2"/>
      <c r="H46" s="2"/>
      <c r="I46" s="2"/>
      <c r="J46" s="4"/>
      <c r="K46" s="7"/>
      <c r="L46" s="8"/>
      <c r="M46" s="9"/>
      <c r="N46" s="10"/>
      <c r="O46" s="2"/>
      <c r="P46" s="10"/>
      <c r="Q46" s="11"/>
      <c r="R46" s="8"/>
      <c r="S46" s="9"/>
      <c r="T46" s="10"/>
      <c r="U46" s="10"/>
      <c r="V46" s="2"/>
      <c r="W46" s="11"/>
      <c r="X46" s="6"/>
      <c r="Y46" s="5"/>
      <c r="Z46" s="26"/>
      <c r="AA46" s="26"/>
      <c r="AB46" s="26"/>
      <c r="AC46" s="26"/>
      <c r="AD46" s="26"/>
      <c r="AE46" s="26"/>
      <c r="AF46" s="23"/>
      <c r="AG46" s="23"/>
      <c r="AH46" s="23"/>
      <c r="AI46" s="23"/>
      <c r="AJ46" s="23"/>
      <c r="AK46" s="23"/>
      <c r="AL46" s="86" t="str">
        <f t="shared" si="0"/>
        <v/>
      </c>
      <c r="AM46" s="87">
        <f>IFERROR(IF(AND(VLOOKUP(D46,tblWeightOrFunction[],6,FALSE)=Parameters!$F$3,L46&lt;$AC$19,NOT(VLOOKUP(D46,tblWeightOrFunction[],4,FALSE)=Parameters!$D$3)),20,0),0)</f>
        <v>0</v>
      </c>
      <c r="AN46" s="27">
        <f>IFERROR(IF(AND(VLOOKUP(D46,tblWeightOrFunction[],6,FALSE)=Parameters!$F$3,R46&gt;$AE$19),1,0),0)</f>
        <v>0</v>
      </c>
      <c r="AO46" s="87">
        <f>IF(AN46=1,IF(ContFede=Parameters!EJU,30,100),0)</f>
        <v>0</v>
      </c>
      <c r="AP46" s="87">
        <f t="shared" si="1"/>
        <v>0</v>
      </c>
      <c r="AQ46" s="87">
        <f t="shared" si="2"/>
        <v>0</v>
      </c>
      <c r="AR46" s="87" t="str">
        <f>IFERROR(VLOOKUP(Z46,tblRoomPricesSunday[],4,FALSE),"")</f>
        <v/>
      </c>
      <c r="AS46" s="87" t="str">
        <f>IFERROR(VLOOKUP(AA46,tblRoomPricesSunday[],4,FALSE),"")</f>
        <v/>
      </c>
      <c r="AT46" s="87" t="str">
        <f>IFERROR(VLOOKUP(AB46,tblRoomPricesSunday[],4,FALSE),"")</f>
        <v/>
      </c>
      <c r="AU46" s="87" t="str">
        <f>IFERROR(VLOOKUP(AC46,tblRoomPricesSunday[],4,FALSE),"")</f>
        <v/>
      </c>
      <c r="AV46" s="87" t="str">
        <f>IFERROR(VLOOKUP(AD46,tblRoomPricesSunday[],4,FALSE),"")</f>
        <v/>
      </c>
      <c r="AW46" s="92" t="str">
        <f>IFERROR(VLOOKUP(AE46,tblRoomPricesSunday[],4,FALSE),"")</f>
        <v/>
      </c>
      <c r="AX46" s="87" t="str">
        <f>IFERROR(VLOOKUP(HotelEJO&amp;", "&amp;AF46,tblMealPricesEJO[],4,FALSE),"")</f>
        <v/>
      </c>
      <c r="AY46" s="87" t="str">
        <f>IFERROR(VLOOKUP(HotelEJO&amp;", "&amp;AG46,tblMealPricesEJO[],4,FALSE),"")</f>
        <v/>
      </c>
      <c r="AZ46" s="87" t="str">
        <f>IFERROR(VLOOKUP(HotelEJO&amp;", "&amp;AH46,tblMealPricesEJO[],4,FALSE),"")</f>
        <v/>
      </c>
      <c r="BA46" s="87" t="str">
        <f>IFERROR(IF(L46&lt;$AC$19,VLOOKUP(BT46&amp;", "&amp;AI46,tblMealPricesEJO[],4,FALSE),""),"")</f>
        <v/>
      </c>
      <c r="BB46" s="87" t="str">
        <f>IFERROR(IF(L46&lt;$AC$19,"",VLOOKUP(BT46&amp;", "&amp;AI46,tblMealPricesEJUTC[],4,FALSE)),"")</f>
        <v/>
      </c>
      <c r="BC46" s="87" t="str">
        <f>IFERROR(VLOOKUP(HotelTC&amp;", "&amp;AJ46,tblMealPricesEJUTC[],4,FALSE),"")</f>
        <v/>
      </c>
      <c r="BD46" s="87" t="str">
        <f>IFERROR(VLOOKUP(HotelTC&amp;", "&amp;AK46,tblMealPricesEJUTC[],4,FALSE),"")</f>
        <v/>
      </c>
      <c r="BE46" s="93" t="str">
        <f>IFERROR(VLOOKUP(Z46,tblRoomPricesSunday[],2,FALSE),"")</f>
        <v/>
      </c>
      <c r="BF46" s="27" t="str">
        <f>IFERROR(VLOOKUP(AA46,tblRoomPricesSunday[],2,FALSE),"")</f>
        <v/>
      </c>
      <c r="BG46" s="27" t="str">
        <f>IFERROR(VLOOKUP(AB46,tblRoomPricesSunday[],2,FALSE),"")</f>
        <v/>
      </c>
      <c r="BH46" s="27" t="str">
        <f>IFERROR(VLOOKUP(AC46,tblRoomPricesSunday[],2,FALSE),"")</f>
        <v/>
      </c>
      <c r="BI46" s="27" t="str">
        <f>IFERROR(VLOOKUP(AD46,tblRoomPricesSunday[],2,FALSE),"")</f>
        <v/>
      </c>
      <c r="BJ46" s="94" t="str">
        <f>IFERROR(VLOOKUP(AE46,tblRoomPricesSunday[],2,FALSE),"")</f>
        <v/>
      </c>
      <c r="BK46" s="87" t="str">
        <f>IFERROR(VLOOKUP(HotelEJO&amp;", "&amp;AF46,tblMealPricesEJO[],3,FALSE),"")</f>
        <v/>
      </c>
      <c r="BL46" s="87" t="str">
        <f>IFERROR(VLOOKUP(HotelEJO&amp;", "&amp;AG46,tblMealPricesEJO[],3,FALSE),"")</f>
        <v/>
      </c>
      <c r="BM46" s="87" t="str">
        <f>IFERROR(VLOOKUP(HotelEJO&amp;", "&amp;AH46,tblMealPricesEJO[],3,FALSE),"")</f>
        <v/>
      </c>
      <c r="BN46" s="87" t="str">
        <f>IFERROR(IF(L46&lt;$AC$19,VLOOKUP(BT46&amp;", "&amp;AI46,tblMealPricesEJO[],3,FALSE),""),"")</f>
        <v/>
      </c>
      <c r="BO46" s="87" t="str">
        <f>IFERROR(IF(L46&lt;$AC$19,"",VLOOKUP(BT46&amp;", "&amp;AI46,tblMealPricesEJUTC[],3,FALSE)),"")</f>
        <v/>
      </c>
      <c r="BP46" s="87" t="str">
        <f>IFERROR(VLOOKUP(HotelTC&amp;", "&amp;AJ46,tblMealPricesEJUTC[],3,FALSE),"")</f>
        <v/>
      </c>
      <c r="BQ46" s="87" t="str">
        <f>IFERROR(VLOOKUP(HotelTC&amp;", "&amp;AK46,tblMealPricesEJUTC[],3,FALSE),"")</f>
        <v/>
      </c>
      <c r="BR46" s="91">
        <f t="shared" si="3"/>
        <v>0</v>
      </c>
      <c r="BS46" s="91">
        <f t="shared" si="4"/>
        <v>0</v>
      </c>
      <c r="BT46" s="91">
        <f t="shared" si="5"/>
        <v>0</v>
      </c>
      <c r="BU46" s="91">
        <f t="shared" si="9"/>
        <v>0</v>
      </c>
      <c r="BV46" s="91">
        <f t="shared" si="6"/>
        <v>0</v>
      </c>
      <c r="BW46" s="91">
        <f t="shared" si="7"/>
        <v>0</v>
      </c>
      <c r="BX46" s="91">
        <f t="shared" si="8"/>
        <v>0</v>
      </c>
    </row>
    <row r="47" spans="1:76">
      <c r="A47">
        <v>28</v>
      </c>
      <c r="B47" s="1"/>
      <c r="C47" s="2"/>
      <c r="D47" s="3"/>
      <c r="E47" s="4"/>
      <c r="F47" s="6"/>
      <c r="G47" s="2"/>
      <c r="H47" s="2"/>
      <c r="I47" s="2"/>
      <c r="J47" s="4"/>
      <c r="K47" s="7"/>
      <c r="L47" s="8"/>
      <c r="M47" s="9"/>
      <c r="N47" s="10"/>
      <c r="O47" s="2"/>
      <c r="P47" s="10"/>
      <c r="Q47" s="11"/>
      <c r="R47" s="8"/>
      <c r="S47" s="9"/>
      <c r="T47" s="10"/>
      <c r="U47" s="10"/>
      <c r="V47" s="2"/>
      <c r="W47" s="11"/>
      <c r="X47" s="6"/>
      <c r="Y47" s="5"/>
      <c r="Z47" s="26"/>
      <c r="AA47" s="26"/>
      <c r="AB47" s="26"/>
      <c r="AC47" s="26"/>
      <c r="AD47" s="26"/>
      <c r="AE47" s="26"/>
      <c r="AF47" s="23"/>
      <c r="AG47" s="23"/>
      <c r="AH47" s="23"/>
      <c r="AI47" s="23"/>
      <c r="AJ47" s="23"/>
      <c r="AK47" s="23"/>
      <c r="AL47" s="86" t="str">
        <f t="shared" si="0"/>
        <v/>
      </c>
      <c r="AM47" s="87">
        <f>IFERROR(IF(AND(VLOOKUP(D47,tblWeightOrFunction[],6,FALSE)=Parameters!$F$3,L47&lt;$AC$19,NOT(VLOOKUP(D47,tblWeightOrFunction[],4,FALSE)=Parameters!$D$3)),20,0),0)</f>
        <v>0</v>
      </c>
      <c r="AN47" s="27">
        <f>IFERROR(IF(AND(VLOOKUP(D47,tblWeightOrFunction[],6,FALSE)=Parameters!$F$3,R47&gt;$AE$19),1,0),0)</f>
        <v>0</v>
      </c>
      <c r="AO47" s="87">
        <f>IF(AN47=1,IF(ContFede=Parameters!EJU,30,100),0)</f>
        <v>0</v>
      </c>
      <c r="AP47" s="87">
        <f t="shared" si="1"/>
        <v>0</v>
      </c>
      <c r="AQ47" s="87">
        <f t="shared" si="2"/>
        <v>0</v>
      </c>
      <c r="AR47" s="87" t="str">
        <f>IFERROR(VLOOKUP(Z47,tblRoomPricesSunday[],4,FALSE),"")</f>
        <v/>
      </c>
      <c r="AS47" s="87" t="str">
        <f>IFERROR(VLOOKUP(AA47,tblRoomPricesSunday[],4,FALSE),"")</f>
        <v/>
      </c>
      <c r="AT47" s="87" t="str">
        <f>IFERROR(VLOOKUP(AB47,tblRoomPricesSunday[],4,FALSE),"")</f>
        <v/>
      </c>
      <c r="AU47" s="87" t="str">
        <f>IFERROR(VLOOKUP(AC47,tblRoomPricesSunday[],4,FALSE),"")</f>
        <v/>
      </c>
      <c r="AV47" s="87" t="str">
        <f>IFERROR(VLOOKUP(AD47,tblRoomPricesSunday[],4,FALSE),"")</f>
        <v/>
      </c>
      <c r="AW47" s="92" t="str">
        <f>IFERROR(VLOOKUP(AE47,tblRoomPricesSunday[],4,FALSE),"")</f>
        <v/>
      </c>
      <c r="AX47" s="87" t="str">
        <f>IFERROR(VLOOKUP(HotelEJO&amp;", "&amp;AF47,tblMealPricesEJO[],4,FALSE),"")</f>
        <v/>
      </c>
      <c r="AY47" s="87" t="str">
        <f>IFERROR(VLOOKUP(HotelEJO&amp;", "&amp;AG47,tblMealPricesEJO[],4,FALSE),"")</f>
        <v/>
      </c>
      <c r="AZ47" s="87" t="str">
        <f>IFERROR(VLOOKUP(HotelEJO&amp;", "&amp;AH47,tblMealPricesEJO[],4,FALSE),"")</f>
        <v/>
      </c>
      <c r="BA47" s="87" t="str">
        <f>IFERROR(IF(L47&lt;$AC$19,VLOOKUP(BT47&amp;", "&amp;AI47,tblMealPricesEJO[],4,FALSE),""),"")</f>
        <v/>
      </c>
      <c r="BB47" s="87" t="str">
        <f>IFERROR(IF(L47&lt;$AC$19,"",VLOOKUP(BT47&amp;", "&amp;AI47,tblMealPricesEJUTC[],4,FALSE)),"")</f>
        <v/>
      </c>
      <c r="BC47" s="87" t="str">
        <f>IFERROR(VLOOKUP(HotelTC&amp;", "&amp;AJ47,tblMealPricesEJUTC[],4,FALSE),"")</f>
        <v/>
      </c>
      <c r="BD47" s="87" t="str">
        <f>IFERROR(VLOOKUP(HotelTC&amp;", "&amp;AK47,tblMealPricesEJUTC[],4,FALSE),"")</f>
        <v/>
      </c>
      <c r="BE47" s="93" t="str">
        <f>IFERROR(VLOOKUP(Z47,tblRoomPricesSunday[],2,FALSE),"")</f>
        <v/>
      </c>
      <c r="BF47" s="27" t="str">
        <f>IFERROR(VLOOKUP(AA47,tblRoomPricesSunday[],2,FALSE),"")</f>
        <v/>
      </c>
      <c r="BG47" s="27" t="str">
        <f>IFERROR(VLOOKUP(AB47,tblRoomPricesSunday[],2,FALSE),"")</f>
        <v/>
      </c>
      <c r="BH47" s="27" t="str">
        <f>IFERROR(VLOOKUP(AC47,tblRoomPricesSunday[],2,FALSE),"")</f>
        <v/>
      </c>
      <c r="BI47" s="27" t="str">
        <f>IFERROR(VLOOKUP(AD47,tblRoomPricesSunday[],2,FALSE),"")</f>
        <v/>
      </c>
      <c r="BJ47" s="94" t="str">
        <f>IFERROR(VLOOKUP(AE47,tblRoomPricesSunday[],2,FALSE),"")</f>
        <v/>
      </c>
      <c r="BK47" s="87" t="str">
        <f>IFERROR(VLOOKUP(HotelEJO&amp;", "&amp;AF47,tblMealPricesEJO[],3,FALSE),"")</f>
        <v/>
      </c>
      <c r="BL47" s="87" t="str">
        <f>IFERROR(VLOOKUP(HotelEJO&amp;", "&amp;AG47,tblMealPricesEJO[],3,FALSE),"")</f>
        <v/>
      </c>
      <c r="BM47" s="87" t="str">
        <f>IFERROR(VLOOKUP(HotelEJO&amp;", "&amp;AH47,tblMealPricesEJO[],3,FALSE),"")</f>
        <v/>
      </c>
      <c r="BN47" s="87" t="str">
        <f>IFERROR(IF(L47&lt;$AC$19,VLOOKUP(BT47&amp;", "&amp;AI47,tblMealPricesEJO[],3,FALSE),""),"")</f>
        <v/>
      </c>
      <c r="BO47" s="87" t="str">
        <f>IFERROR(IF(L47&lt;$AC$19,"",VLOOKUP(BT47&amp;", "&amp;AI47,tblMealPricesEJUTC[],3,FALSE)),"")</f>
        <v/>
      </c>
      <c r="BP47" s="87" t="str">
        <f>IFERROR(VLOOKUP(HotelTC&amp;", "&amp;AJ47,tblMealPricesEJUTC[],3,FALSE),"")</f>
        <v/>
      </c>
      <c r="BQ47" s="87" t="str">
        <f>IFERROR(VLOOKUP(HotelTC&amp;", "&amp;AK47,tblMealPricesEJUTC[],3,FALSE),"")</f>
        <v/>
      </c>
      <c r="BR47" s="91">
        <f t="shared" si="3"/>
        <v>0</v>
      </c>
      <c r="BS47" s="91">
        <f t="shared" si="4"/>
        <v>0</v>
      </c>
      <c r="BT47" s="91">
        <f t="shared" si="5"/>
        <v>0</v>
      </c>
      <c r="BU47" s="91">
        <f t="shared" si="9"/>
        <v>0</v>
      </c>
      <c r="BV47" s="91">
        <f t="shared" si="6"/>
        <v>0</v>
      </c>
      <c r="BW47" s="91">
        <f t="shared" si="7"/>
        <v>0</v>
      </c>
      <c r="BX47" s="91">
        <f t="shared" si="8"/>
        <v>0</v>
      </c>
    </row>
    <row r="48" spans="1:76">
      <c r="A48">
        <v>29</v>
      </c>
      <c r="B48" s="1"/>
      <c r="C48" s="2"/>
      <c r="D48" s="3"/>
      <c r="E48" s="4"/>
      <c r="F48" s="6"/>
      <c r="G48" s="2"/>
      <c r="H48" s="2"/>
      <c r="I48" s="2"/>
      <c r="J48" s="4"/>
      <c r="K48" s="7"/>
      <c r="L48" s="8"/>
      <c r="M48" s="9"/>
      <c r="N48" s="10"/>
      <c r="O48" s="2"/>
      <c r="P48" s="10"/>
      <c r="Q48" s="11"/>
      <c r="R48" s="8"/>
      <c r="S48" s="9"/>
      <c r="T48" s="10"/>
      <c r="U48" s="10"/>
      <c r="V48" s="2"/>
      <c r="W48" s="11"/>
      <c r="X48" s="6"/>
      <c r="Y48" s="5"/>
      <c r="Z48" s="26"/>
      <c r="AA48" s="26"/>
      <c r="AB48" s="26"/>
      <c r="AC48" s="26"/>
      <c r="AD48" s="26"/>
      <c r="AE48" s="26"/>
      <c r="AF48" s="23"/>
      <c r="AG48" s="23"/>
      <c r="AH48" s="23"/>
      <c r="AI48" s="23"/>
      <c r="AJ48" s="23"/>
      <c r="AK48" s="23"/>
      <c r="AL48" s="86" t="str">
        <f t="shared" si="0"/>
        <v/>
      </c>
      <c r="AM48" s="87">
        <f>IFERROR(IF(AND(VLOOKUP(D48,tblWeightOrFunction[],6,FALSE)=Parameters!$F$3,L48&lt;$AC$19,NOT(VLOOKUP(D48,tblWeightOrFunction[],4,FALSE)=Parameters!$D$3)),20,0),0)</f>
        <v>0</v>
      </c>
      <c r="AN48" s="27">
        <f>IFERROR(IF(AND(VLOOKUP(D48,tblWeightOrFunction[],6,FALSE)=Parameters!$F$3,R48&gt;$AE$19),1,0),0)</f>
        <v>0</v>
      </c>
      <c r="AO48" s="87">
        <f>IF(AN48=1,IF(ContFede=Parameters!EJU,30,100),0)</f>
        <v>0</v>
      </c>
      <c r="AP48" s="87">
        <f t="shared" si="1"/>
        <v>0</v>
      </c>
      <c r="AQ48" s="87">
        <f t="shared" si="2"/>
        <v>0</v>
      </c>
      <c r="AR48" s="87" t="str">
        <f>IFERROR(VLOOKUP(Z48,tblRoomPricesSunday[],4,FALSE),"")</f>
        <v/>
      </c>
      <c r="AS48" s="87" t="str">
        <f>IFERROR(VLOOKUP(AA48,tblRoomPricesSunday[],4,FALSE),"")</f>
        <v/>
      </c>
      <c r="AT48" s="87" t="str">
        <f>IFERROR(VLOOKUP(AB48,tblRoomPricesSunday[],4,FALSE),"")</f>
        <v/>
      </c>
      <c r="AU48" s="87" t="str">
        <f>IFERROR(VLOOKUP(AC48,tblRoomPricesSunday[],4,FALSE),"")</f>
        <v/>
      </c>
      <c r="AV48" s="87" t="str">
        <f>IFERROR(VLOOKUP(AD48,tblRoomPricesSunday[],4,FALSE),"")</f>
        <v/>
      </c>
      <c r="AW48" s="92" t="str">
        <f>IFERROR(VLOOKUP(AE48,tblRoomPricesSunday[],4,FALSE),"")</f>
        <v/>
      </c>
      <c r="AX48" s="87" t="str">
        <f>IFERROR(VLOOKUP(HotelEJO&amp;", "&amp;AF48,tblMealPricesEJO[],4,FALSE),"")</f>
        <v/>
      </c>
      <c r="AY48" s="87" t="str">
        <f>IFERROR(VLOOKUP(HotelEJO&amp;", "&amp;AG48,tblMealPricesEJO[],4,FALSE),"")</f>
        <v/>
      </c>
      <c r="AZ48" s="87" t="str">
        <f>IFERROR(VLOOKUP(HotelEJO&amp;", "&amp;AH48,tblMealPricesEJO[],4,FALSE),"")</f>
        <v/>
      </c>
      <c r="BA48" s="87" t="str">
        <f>IFERROR(IF(L48&lt;$AC$19,VLOOKUP(BT48&amp;", "&amp;AI48,tblMealPricesEJO[],4,FALSE),""),"")</f>
        <v/>
      </c>
      <c r="BB48" s="87" t="str">
        <f>IFERROR(IF(L48&lt;$AC$19,"",VLOOKUP(BT48&amp;", "&amp;AI48,tblMealPricesEJUTC[],4,FALSE)),"")</f>
        <v/>
      </c>
      <c r="BC48" s="87" t="str">
        <f>IFERROR(VLOOKUP(HotelTC&amp;", "&amp;AJ48,tblMealPricesEJUTC[],4,FALSE),"")</f>
        <v/>
      </c>
      <c r="BD48" s="87" t="str">
        <f>IFERROR(VLOOKUP(HotelTC&amp;", "&amp;AK48,tblMealPricesEJUTC[],4,FALSE),"")</f>
        <v/>
      </c>
      <c r="BE48" s="93" t="str">
        <f>IFERROR(VLOOKUP(Z48,tblRoomPricesSunday[],2,FALSE),"")</f>
        <v/>
      </c>
      <c r="BF48" s="27" t="str">
        <f>IFERROR(VLOOKUP(AA48,tblRoomPricesSunday[],2,FALSE),"")</f>
        <v/>
      </c>
      <c r="BG48" s="27" t="str">
        <f>IFERROR(VLOOKUP(AB48,tblRoomPricesSunday[],2,FALSE),"")</f>
        <v/>
      </c>
      <c r="BH48" s="27" t="str">
        <f>IFERROR(VLOOKUP(AC48,tblRoomPricesSunday[],2,FALSE),"")</f>
        <v/>
      </c>
      <c r="BI48" s="27" t="str">
        <f>IFERROR(VLOOKUP(AD48,tblRoomPricesSunday[],2,FALSE),"")</f>
        <v/>
      </c>
      <c r="BJ48" s="94" t="str">
        <f>IFERROR(VLOOKUP(AE48,tblRoomPricesSunday[],2,FALSE),"")</f>
        <v/>
      </c>
      <c r="BK48" s="87" t="str">
        <f>IFERROR(VLOOKUP(HotelEJO&amp;", "&amp;AF48,tblMealPricesEJO[],3,FALSE),"")</f>
        <v/>
      </c>
      <c r="BL48" s="87" t="str">
        <f>IFERROR(VLOOKUP(HotelEJO&amp;", "&amp;AG48,tblMealPricesEJO[],3,FALSE),"")</f>
        <v/>
      </c>
      <c r="BM48" s="87" t="str">
        <f>IFERROR(VLOOKUP(HotelEJO&amp;", "&amp;AH48,tblMealPricesEJO[],3,FALSE),"")</f>
        <v/>
      </c>
      <c r="BN48" s="87" t="str">
        <f>IFERROR(IF(L48&lt;$AC$19,VLOOKUP(BT48&amp;", "&amp;AI48,tblMealPricesEJO[],3,FALSE),""),"")</f>
        <v/>
      </c>
      <c r="BO48" s="87" t="str">
        <f>IFERROR(IF(L48&lt;$AC$19,"",VLOOKUP(BT48&amp;", "&amp;AI48,tblMealPricesEJUTC[],3,FALSE)),"")</f>
        <v/>
      </c>
      <c r="BP48" s="87" t="str">
        <f>IFERROR(VLOOKUP(HotelTC&amp;", "&amp;AJ48,tblMealPricesEJUTC[],3,FALSE),"")</f>
        <v/>
      </c>
      <c r="BQ48" s="87" t="str">
        <f>IFERROR(VLOOKUP(HotelTC&amp;", "&amp;AK48,tblMealPricesEJUTC[],3,FALSE),"")</f>
        <v/>
      </c>
      <c r="BR48" s="91">
        <f t="shared" si="3"/>
        <v>0</v>
      </c>
      <c r="BS48" s="91">
        <f t="shared" si="4"/>
        <v>0</v>
      </c>
      <c r="BT48" s="91">
        <f t="shared" si="5"/>
        <v>0</v>
      </c>
      <c r="BU48" s="91">
        <f t="shared" si="9"/>
        <v>0</v>
      </c>
      <c r="BV48" s="91">
        <f t="shared" si="6"/>
        <v>0</v>
      </c>
      <c r="BW48" s="91">
        <f t="shared" si="7"/>
        <v>0</v>
      </c>
      <c r="BX48" s="91">
        <f t="shared" si="8"/>
        <v>0</v>
      </c>
    </row>
    <row r="49" spans="1:76">
      <c r="A49">
        <v>30</v>
      </c>
      <c r="B49" s="1"/>
      <c r="C49" s="2"/>
      <c r="D49" s="3"/>
      <c r="E49" s="4"/>
      <c r="F49" s="6"/>
      <c r="G49" s="2"/>
      <c r="H49" s="2"/>
      <c r="I49" s="2"/>
      <c r="J49" s="4"/>
      <c r="K49" s="7"/>
      <c r="L49" s="8"/>
      <c r="M49" s="9"/>
      <c r="N49" s="10"/>
      <c r="O49" s="2"/>
      <c r="P49" s="10"/>
      <c r="Q49" s="11"/>
      <c r="R49" s="8"/>
      <c r="S49" s="9"/>
      <c r="T49" s="10"/>
      <c r="U49" s="10"/>
      <c r="V49" s="2"/>
      <c r="W49" s="11"/>
      <c r="X49" s="6"/>
      <c r="Y49" s="5"/>
      <c r="Z49" s="26"/>
      <c r="AA49" s="26"/>
      <c r="AB49" s="26"/>
      <c r="AC49" s="26"/>
      <c r="AD49" s="26"/>
      <c r="AE49" s="26"/>
      <c r="AF49" s="23"/>
      <c r="AG49" s="23"/>
      <c r="AH49" s="23"/>
      <c r="AI49" s="23"/>
      <c r="AJ49" s="23"/>
      <c r="AK49" s="23"/>
      <c r="AL49" s="86" t="str">
        <f t="shared" si="0"/>
        <v/>
      </c>
      <c r="AM49" s="87">
        <f>IFERROR(IF(AND(VLOOKUP(D49,tblWeightOrFunction[],6,FALSE)=Parameters!$F$3,L49&lt;$AC$19,NOT(VLOOKUP(D49,tblWeightOrFunction[],4,FALSE)=Parameters!$D$3)),20,0),0)</f>
        <v>0</v>
      </c>
      <c r="AN49" s="27">
        <f>IFERROR(IF(AND(VLOOKUP(D49,tblWeightOrFunction[],6,FALSE)=Parameters!$F$3,R49&gt;$AE$19),1,0),0)</f>
        <v>0</v>
      </c>
      <c r="AO49" s="87">
        <f>IF(AN49=1,IF(ContFede=Parameters!EJU,30,100),0)</f>
        <v>0</v>
      </c>
      <c r="AP49" s="87">
        <f t="shared" si="1"/>
        <v>0</v>
      </c>
      <c r="AQ49" s="87">
        <f t="shared" si="2"/>
        <v>0</v>
      </c>
      <c r="AR49" s="87" t="str">
        <f>IFERROR(VLOOKUP(Z49,tblRoomPricesSunday[],4,FALSE),"")</f>
        <v/>
      </c>
      <c r="AS49" s="87" t="str">
        <f>IFERROR(VLOOKUP(AA49,tblRoomPricesSunday[],4,FALSE),"")</f>
        <v/>
      </c>
      <c r="AT49" s="87" t="str">
        <f>IFERROR(VLOOKUP(AB49,tblRoomPricesSunday[],4,FALSE),"")</f>
        <v/>
      </c>
      <c r="AU49" s="87" t="str">
        <f>IFERROR(VLOOKUP(AC49,tblRoomPricesSunday[],4,FALSE),"")</f>
        <v/>
      </c>
      <c r="AV49" s="87" t="str">
        <f>IFERROR(VLOOKUP(AD49,tblRoomPricesSunday[],4,FALSE),"")</f>
        <v/>
      </c>
      <c r="AW49" s="92" t="str">
        <f>IFERROR(VLOOKUP(AE49,tblRoomPricesSunday[],4,FALSE),"")</f>
        <v/>
      </c>
      <c r="AX49" s="87" t="str">
        <f>IFERROR(VLOOKUP(HotelEJO&amp;", "&amp;AF49,tblMealPricesEJO[],4,FALSE),"")</f>
        <v/>
      </c>
      <c r="AY49" s="87" t="str">
        <f>IFERROR(VLOOKUP(HotelEJO&amp;", "&amp;AG49,tblMealPricesEJO[],4,FALSE),"")</f>
        <v/>
      </c>
      <c r="AZ49" s="87" t="str">
        <f>IFERROR(VLOOKUP(HotelEJO&amp;", "&amp;AH49,tblMealPricesEJO[],4,FALSE),"")</f>
        <v/>
      </c>
      <c r="BA49" s="87" t="str">
        <f>IFERROR(IF(L49&lt;$AC$19,VLOOKUP(BT49&amp;", "&amp;AI49,tblMealPricesEJO[],4,FALSE),""),"")</f>
        <v/>
      </c>
      <c r="BB49" s="87" t="str">
        <f>IFERROR(IF(L49&lt;$AC$19,"",VLOOKUP(BT49&amp;", "&amp;AI49,tblMealPricesEJUTC[],4,FALSE)),"")</f>
        <v/>
      </c>
      <c r="BC49" s="87" t="str">
        <f>IFERROR(VLOOKUP(HotelTC&amp;", "&amp;AJ49,tblMealPricesEJUTC[],4,FALSE),"")</f>
        <v/>
      </c>
      <c r="BD49" s="87" t="str">
        <f>IFERROR(VLOOKUP(HotelTC&amp;", "&amp;AK49,tblMealPricesEJUTC[],4,FALSE),"")</f>
        <v/>
      </c>
      <c r="BE49" s="93" t="str">
        <f>IFERROR(VLOOKUP(Z49,tblRoomPricesSunday[],2,FALSE),"")</f>
        <v/>
      </c>
      <c r="BF49" s="27" t="str">
        <f>IFERROR(VLOOKUP(AA49,tblRoomPricesSunday[],2,FALSE),"")</f>
        <v/>
      </c>
      <c r="BG49" s="27" t="str">
        <f>IFERROR(VLOOKUP(AB49,tblRoomPricesSunday[],2,FALSE),"")</f>
        <v/>
      </c>
      <c r="BH49" s="27" t="str">
        <f>IFERROR(VLOOKUP(AC49,tblRoomPricesSunday[],2,FALSE),"")</f>
        <v/>
      </c>
      <c r="BI49" s="27" t="str">
        <f>IFERROR(VLOOKUP(AD49,tblRoomPricesSunday[],2,FALSE),"")</f>
        <v/>
      </c>
      <c r="BJ49" s="94" t="str">
        <f>IFERROR(VLOOKUP(AE49,tblRoomPricesSunday[],2,FALSE),"")</f>
        <v/>
      </c>
      <c r="BK49" s="87" t="str">
        <f>IFERROR(VLOOKUP(HotelEJO&amp;", "&amp;AF49,tblMealPricesEJO[],3,FALSE),"")</f>
        <v/>
      </c>
      <c r="BL49" s="87" t="str">
        <f>IFERROR(VLOOKUP(HotelEJO&amp;", "&amp;AG49,tblMealPricesEJO[],3,FALSE),"")</f>
        <v/>
      </c>
      <c r="BM49" s="87" t="str">
        <f>IFERROR(VLOOKUP(HotelEJO&amp;", "&amp;AH49,tblMealPricesEJO[],3,FALSE),"")</f>
        <v/>
      </c>
      <c r="BN49" s="87" t="str">
        <f>IFERROR(IF(L49&lt;$AC$19,VLOOKUP(BT49&amp;", "&amp;AI49,tblMealPricesEJO[],3,FALSE),""),"")</f>
        <v/>
      </c>
      <c r="BO49" s="87" t="str">
        <f>IFERROR(IF(L49&lt;$AC$19,"",VLOOKUP(BT49&amp;", "&amp;AI49,tblMealPricesEJUTC[],3,FALSE)),"")</f>
        <v/>
      </c>
      <c r="BP49" s="87" t="str">
        <f>IFERROR(VLOOKUP(HotelTC&amp;", "&amp;AJ49,tblMealPricesEJUTC[],3,FALSE),"")</f>
        <v/>
      </c>
      <c r="BQ49" s="87" t="str">
        <f>IFERROR(VLOOKUP(HotelTC&amp;", "&amp;AK49,tblMealPricesEJUTC[],3,FALSE),"")</f>
        <v/>
      </c>
      <c r="BR49" s="91">
        <f t="shared" si="3"/>
        <v>0</v>
      </c>
      <c r="BS49" s="91">
        <f t="shared" si="4"/>
        <v>0</v>
      </c>
      <c r="BT49" s="91">
        <f t="shared" si="5"/>
        <v>0</v>
      </c>
      <c r="BU49" s="91">
        <f t="shared" si="9"/>
        <v>0</v>
      </c>
      <c r="BV49" s="91">
        <f t="shared" si="6"/>
        <v>0</v>
      </c>
      <c r="BW49" s="91">
        <f t="shared" si="7"/>
        <v>0</v>
      </c>
      <c r="BX49" s="91">
        <f t="shared" si="8"/>
        <v>0</v>
      </c>
    </row>
  </sheetData>
  <sheetProtection algorithmName="SHA-512" hashValue="ucf3ydfeT6zAfixpN8v8Yk4cICcqCg/aMXAhk0z2gBQWRhYarijRY2FfbK3/+jMk8XkIt5qtHDawQX/mj1JqKQ==" saltValue="d2br+5CsyCHs4/Y0FT1urA==" spinCount="100000" sheet="1" objects="1" scenarios="1"/>
  <mergeCells count="42">
    <mergeCell ref="C3:D3"/>
    <mergeCell ref="Z12:AB12"/>
    <mergeCell ref="J3:L3"/>
    <mergeCell ref="J4:L4"/>
    <mergeCell ref="J8:L8"/>
    <mergeCell ref="J12:L12"/>
    <mergeCell ref="F12:H12"/>
    <mergeCell ref="F3:H3"/>
    <mergeCell ref="F4:H4"/>
    <mergeCell ref="F8:H8"/>
    <mergeCell ref="C9:D10"/>
    <mergeCell ref="AC12:AE12"/>
    <mergeCell ref="A4:B4"/>
    <mergeCell ref="C4:D4"/>
    <mergeCell ref="C5:D5"/>
    <mergeCell ref="C6:D6"/>
    <mergeCell ref="A7:B7"/>
    <mergeCell ref="C7:D7"/>
    <mergeCell ref="Z10:AE10"/>
    <mergeCell ref="Z11:AB11"/>
    <mergeCell ref="Z8:AE8"/>
    <mergeCell ref="Z9:AE9"/>
    <mergeCell ref="AC11:AE11"/>
    <mergeCell ref="A6:B6"/>
    <mergeCell ref="B18:E18"/>
    <mergeCell ref="L18:Q18"/>
    <mergeCell ref="R18:W18"/>
    <mergeCell ref="F18:K18"/>
    <mergeCell ref="Z18:AE18"/>
    <mergeCell ref="X18:Y18"/>
    <mergeCell ref="BK18:BQ18"/>
    <mergeCell ref="AX18:BD18"/>
    <mergeCell ref="BE18:BJ18"/>
    <mergeCell ref="AR18:AW18"/>
    <mergeCell ref="AF10:AK10"/>
    <mergeCell ref="AI13:AK13"/>
    <mergeCell ref="AI14:AK14"/>
    <mergeCell ref="AF11:AH11"/>
    <mergeCell ref="AI11:AK11"/>
    <mergeCell ref="AF12:AH12"/>
    <mergeCell ref="AI12:AK12"/>
    <mergeCell ref="AF18:AK18"/>
  </mergeCells>
  <conditionalFormatting sqref="G20:K49">
    <cfRule type="expression" dxfId="65" priority="34">
      <formula>$F20&lt;&gt;"YES"</formula>
    </cfRule>
  </conditionalFormatting>
  <conditionalFormatting sqref="BR20:BX49 C20:AQ49">
    <cfRule type="expression" dxfId="64" priority="8" stopIfTrue="1">
      <formula>ISBLANK($B20)</formula>
    </cfRule>
  </conditionalFormatting>
  <conditionalFormatting sqref="R20:S49 L20:N49">
    <cfRule type="expression" dxfId="63" priority="62">
      <formula>AND(ISBLANK(L20),COUNTA($Z20:$AE20)&gt;0)</formula>
    </cfRule>
  </conditionalFormatting>
  <conditionalFormatting sqref="AB25:AC29 Z20:AB49">
    <cfRule type="expression" dxfId="62" priority="37">
      <formula>AND(BE20=HotelEJO,NOT(AND(NOT(ISBLANK($R20)),$R20&lt;=Z$19)),NOT($L20&gt;Z$19))</formula>
    </cfRule>
  </conditionalFormatting>
  <conditionalFormatting sqref="AD20:AE49">
    <cfRule type="expression" dxfId="61" priority="36">
      <formula>BI20=HotelTC</formula>
    </cfRule>
  </conditionalFormatting>
  <conditionalFormatting sqref="F8:H10 F12:H15">
    <cfRule type="expression" dxfId="60" priority="144">
      <formula>$D$12="Hilton"</formula>
    </cfRule>
  </conditionalFormatting>
  <conditionalFormatting sqref="F4:H6 F12:H15">
    <cfRule type="expression" dxfId="59" priority="146">
      <formula>$D$12="Alvisse"</formula>
    </cfRule>
  </conditionalFormatting>
  <conditionalFormatting sqref="F4:H6 F8:H10">
    <cfRule type="expression" dxfId="58" priority="148">
      <formula>$D$12="Ibis"</formula>
    </cfRule>
  </conditionalFormatting>
  <conditionalFormatting sqref="J8:L10 J12:L15">
    <cfRule type="expression" dxfId="57" priority="150">
      <formula>$D$13="Coque"</formula>
    </cfRule>
  </conditionalFormatting>
  <conditionalFormatting sqref="J4:L6 J12:L15">
    <cfRule type="expression" dxfId="56" priority="152">
      <formula>$D$13="Ibis"</formula>
    </cfRule>
  </conditionalFormatting>
  <conditionalFormatting sqref="J4:L6 J8:L10">
    <cfRule type="expression" dxfId="55" priority="154">
      <formula>$D$13="Hostel"</formula>
    </cfRule>
  </conditionalFormatting>
  <conditionalFormatting sqref="AC20:AC49">
    <cfRule type="expression" dxfId="54" priority="164">
      <formula>BH20=BT20</formula>
    </cfRule>
  </conditionalFormatting>
  <conditionalFormatting sqref="A18:E49 F18 R18 F1:AL17 X18:AL18 L18 F19:AL49">
    <cfRule type="expression" dxfId="53" priority="3">
      <formula>OR(ISBLANK($C$3),ISBLANK($C$4),ISBLANK($C$5),ISBLANK($C$6),ISBLANK($C$7),AND(ISBLANK($D$12),ISBLANK($D$13)))</formula>
    </cfRule>
  </conditionalFormatting>
  <conditionalFormatting sqref="Y20:Y49 U20:W49">
    <cfRule type="expression" dxfId="52" priority="195">
      <formula>$T20="by Car or Bus"</formula>
    </cfRule>
  </conditionalFormatting>
  <conditionalFormatting sqref="X20:X49 O20:Q49">
    <cfRule type="expression" dxfId="51" priority="211">
      <formula>$N20="by Car or Bus"</formula>
    </cfRule>
  </conditionalFormatting>
  <conditionalFormatting sqref="Z20:AE49">
    <cfRule type="expression" dxfId="50" priority="213">
      <formula>Z20=Error1</formula>
    </cfRule>
    <cfRule type="expression" dxfId="49" priority="214">
      <formula>AND(NOT(ISBLANK($R20)),$R20&lt;=Z$19)</formula>
    </cfRule>
    <cfRule type="expression" dxfId="48" priority="215">
      <formula>$L20&gt;Z$19</formula>
    </cfRule>
  </conditionalFormatting>
  <conditionalFormatting sqref="AF20:AK49">
    <cfRule type="expression" dxfId="47" priority="216">
      <formula>$L20&gt;AF$19</formula>
    </cfRule>
    <cfRule type="expression" dxfId="46" priority="217">
      <formula>AND(NOT(ISBLANK($R20)),$R20&lt;AF$19)</formula>
    </cfRule>
  </conditionalFormatting>
  <conditionalFormatting sqref="E20:E49">
    <cfRule type="expression" dxfId="45" priority="229">
      <formula>AND(ISBLANK($E20),OR($BC20="Athlete",$F20="YES"))</formula>
    </cfRule>
  </conditionalFormatting>
  <conditionalFormatting sqref="R20:R49">
    <cfRule type="expression" dxfId="44" priority="230">
      <formula>BS20=1</formula>
    </cfRule>
    <cfRule type="expression" dxfId="43" priority="231">
      <formula>AND(NOT(ISBLANK($R20)),$R20&lt;=$L20)</formula>
    </cfRule>
  </conditionalFormatting>
  <dataValidations xWindow="1075" yWindow="785" count="40">
    <dataValidation type="list" allowBlank="1" showInputMessage="1" showErrorMessage="1" error="Please select one of the available options!" prompt="Select &quot;YES&quot; if the member needs a transfer shuttle from her/his arrival location to her/his (official) hotel._x000a_Please select &quot;NO&quot; if the member takes care of herself/himself." sqref="X20:X49" xr:uid="{FD7BCF4F-6795-4750-8500-7024E5BB608A}">
      <formula1>lstTransferLocation</formula1>
    </dataValidation>
    <dataValidation allowBlank="1" showInputMessage="1" showErrorMessage="1" prompt="If departing by plane or train, please provide the flight/train number." sqref="W21:W49" xr:uid="{B38285E2-69A0-4022-8FC2-CDFD923B5BC6}"/>
    <dataValidation type="list" allowBlank="1" showInputMessage="1" showErrorMessage="1" error="Please select one of the 3 options!" prompt="Please provide information how the member arrives at the event." sqref="N20:N49" xr:uid="{8EC1AEA7-CDD3-4D1F-A01B-20CEAB1E4093}">
      <formula1>lstLocomotionType</formula1>
    </dataValidation>
    <dataValidation type="time" allowBlank="1" showInputMessage="1" showErrorMessage="1" error="Please enter the arrival time in &quot;hh:mm&quot; (24h format)." prompt="Please enter the arrival time in &quot;hh:mm&quot; (24h format)." sqref="M20:N49" xr:uid="{2DC86B0E-D119-4156-B3CC-E80351CFABCC}">
      <formula1>0</formula1>
      <formula2>0.999305555555556</formula2>
    </dataValidation>
    <dataValidation type="date" allowBlank="1" showInputMessage="1" showErrorMessage="1" prompt="If a visa is required, enter the date when the passport was issued." sqref="J20:J49" xr:uid="{2916AE3B-AB54-437C-B39F-A45DF8207997}">
      <formula1>1</formula1>
      <formula2>47848</formula2>
    </dataValidation>
    <dataValidation allowBlank="1" showInputMessage="1" showErrorMessage="1" prompt="If a visa is required, enter the number of the member's passport." sqref="I20:I49" xr:uid="{CCDCF646-A53C-4016-B74D-EAC03C36D584}"/>
    <dataValidation allowBlank="1" showInputMessage="1" showErrorMessage="1" prompt="If a visa is required, enter the nationality of the member." sqref="H20:H49" xr:uid="{518517F1-2E7D-44E0-9FA5-40080EA5A70E}"/>
    <dataValidation allowBlank="1" showInputMessage="1" showErrorMessage="1" prompt="If a visa is required, enter the place where the member was born." sqref="G20:G49" xr:uid="{32837487-77C0-4647-BF36-883FF7684C03}"/>
    <dataValidation type="date" allowBlank="1" showInputMessage="1" showErrorMessage="1" error="Please enter the date with a correct format!" prompt="If the member is an athlete, or requires a visa, please enter her/his birth date" sqref="E20:E49" xr:uid="{19355CD9-1DCB-4DC9-A64F-91492BA170A8}">
      <formula1>1</formula1>
      <formula2>47848</formula2>
    </dataValidation>
    <dataValidation allowBlank="1" showInputMessage="1" showErrorMessage="1" prompt="Please enter the first name" sqref="C20:C49" xr:uid="{48735EFD-A43B-46CA-AAE9-B9970E7A7607}"/>
    <dataValidation type="custom" allowBlank="1" showInputMessage="1" showErrorMessage="1" error="Last name must not contain only spaces! Please delete all characters or enter at least one letter." prompt="Please enter the last (or family) name of the participating delegation member" sqref="B20:B49" xr:uid="{000FE3C6-4054-4E13-B7F8-453BE9E9E26B}">
      <formula1>LEN(TRIM(B20))&gt;0</formula1>
    </dataValidation>
    <dataValidation type="date" allowBlank="1" showInputMessage="1" showErrorMessage="1" prompt="If a visa is required, enter the date when the passport will expire." sqref="K20:K49" xr:uid="{48B3A09F-1C82-43E5-95B4-8BA1D474D866}">
      <formula1>1</formula1>
      <formula2>47848</formula2>
    </dataValidation>
    <dataValidation type="list" allowBlank="1" showInputMessage="1" showErrorMessage="1" error="Please select one of the available options!" prompt="Select &quot;YES&quot; if the member needs a transfer shuttle from her/his (official) hotel to her/his departure location._x000a_Please select &quot;NO&quot; if the member takes care of herself/himself." sqref="Y20:Y49" xr:uid="{0DFFC98D-1AC5-4A40-8267-00FE49250F86}">
      <formula1>lstTransferLocation</formula1>
    </dataValidation>
    <dataValidation type="list" allowBlank="1" showInputMessage="1" showErrorMessage="1" error="Please select one of the available dates!" prompt="Select the date when the member departs from the event." sqref="R20:R49" xr:uid="{01EA0903-9758-400D-8F08-1FD7EE980025}">
      <formula1>lstDepartureDate</formula1>
    </dataValidation>
    <dataValidation type="list" allowBlank="1" showInputMessage="1" showErrorMessage="1" error="Please select one of the 3 available options!" prompt="Please provide information how the member departs from the event." sqref="T20:T49" xr:uid="{BDFC8EDE-E97E-42A2-BECF-7FD3510E98DB}">
      <formula1>lstLocomotionType</formula1>
    </dataValidation>
    <dataValidation type="time" allowBlank="1" showInputMessage="1" showErrorMessage="1" error="Please enter the time of departure in &quot;hh:mm&quot; (24h format)." prompt="Please enter the time of departure in &quot;hh:mm&quot; (24h format)." sqref="S20:S49" xr:uid="{898AE535-6A53-4216-8DD0-078305D2B2D5}">
      <formula1>0</formula1>
      <formula2>0.999305555555556</formula2>
    </dataValidation>
    <dataValidation type="list" allowBlank="1" showInputMessage="1" showErrorMessage="1" error="Please select one of the available dates!" prompt="Select the date when the member arrives at the event." sqref="L20:L49" xr:uid="{87BB53A5-C9D8-484A-ADCF-D790CB210260}">
      <formula1>lstArrivalDate</formula1>
    </dataValidation>
    <dataValidation type="list" allowBlank="1" showInputMessage="1" showErrorMessage="1" error="Only &quot;YES&quot; or &quot;NO&quot; is accepted!" prompt="Enter &quot;YES&quot;, if the member requires a visa for visiting the event. This member will automatically be listed on the &quot;Visa Application&quot; form." sqref="F20:F49" xr:uid="{587B2F70-44C7-4638-B9A0-A910E010B7E8}">
      <formula1>lstYesNo</formula1>
    </dataValidation>
    <dataValidation type="list" allowBlank="1" showInputMessage="1" showErrorMessage="1" error="Only values offered in the drop down list can be entered!" prompt="Please select one of the available options. Scroll down to find more options." sqref="D20:D49" xr:uid="{B66F164D-7892-4E6E-A957-35111A65F404}">
      <formula1>lstWeightOrFunctionCategory</formula1>
    </dataValidation>
    <dataValidation type="list" allowBlank="1" showInputMessage="1" showErrorMessage="1" sqref="D12" xr:uid="{5660AA25-BD61-42D2-B221-1087B5BB391D}">
      <formula1>lstHotelsEJO</formula1>
    </dataValidation>
    <dataValidation type="list" allowBlank="1" showInputMessage="1" showErrorMessage="1" sqref="D13" xr:uid="{6E59FB9D-7C79-4597-B2FC-2CD949A04CE2}">
      <formula1>lstHotelsTC</formula1>
    </dataValidation>
    <dataValidation type="list" allowBlank="1" showInputMessage="1" showErrorMessage="1" error="Please select one of the available options!" prompt="Please select the additional meals (breakfast always included)" sqref="AJ20:AK49" xr:uid="{E5F5A7DC-44B6-4BFB-929B-41A6573E84C9}">
      <formula1>lstMealTypesTC</formula1>
    </dataValidation>
    <dataValidation type="list" allowBlank="1" showInputMessage="1" showErrorMessage="1" error="Please select one of the available options!" prompt="Please select the additional meals (breakfast always included)" sqref="AF20:AI49" xr:uid="{7543F6B7-05E8-4861-B3F5-EF74224DF9FF}">
      <formula1>lstMealTypesEJO</formula1>
    </dataValidation>
    <dataValidation type="list" allowBlank="1" showInputMessage="1" showErrorMessage="1" error="Please select one of the available options!" prompt="Please select the appropriate room type" sqref="Z20:AB49" xr:uid="{46A8D554-E5F1-4F27-A668-5053E5FDED04}">
      <formula1>INDIRECT(HotelEJO)</formula1>
    </dataValidation>
    <dataValidation allowBlank="1" showInputMessage="1" showErrorMessage="1" error="Please select one of the available options!" prompt="Select &quot;YES&quot; if the member needs a transfer shuttle from her/his (official) hotel to her/his departure location._x000a_Please select &quot;NO&quot; if the member takes care of herself/himself." sqref="BR20:BX49 AP20:AQ49" xr:uid="{88438AE2-9D13-4477-B4CC-6574570B3921}"/>
    <dataValidation type="list" allowBlank="1" showInputMessage="1" showErrorMessage="1" error="Please select one of the available options!" prompt="Please select the appropriate room type" sqref="AD20:AE49" xr:uid="{BF90CF88-19CC-4686-93DC-853E317DE0CE}">
      <formula1>INDIRECT(HotelTC)</formula1>
    </dataValidation>
    <dataValidation allowBlank="1" showInputMessage="1" showErrorMessage="1" error="Please select one of the available options!" prompt="Please select the additional meals (breakfast always included)" sqref="AM20:AQ49" xr:uid="{AFB0C6BB-C389-447E-8984-94AC2EE0E49C}"/>
    <dataValidation allowBlank="1" showInputMessage="1" showErrorMessage="1" prompt="Please enter the country your federation belongs to" sqref="C4:D4" xr:uid="{455FBABF-9097-4757-A22C-17C5BE372334}"/>
    <dataValidation type="list" allowBlank="1" showInputMessage="1" showErrorMessage="1" error="Please choose a valid continental Federation." prompt="Please choose your continental Federation." sqref="C5:D5" xr:uid="{26458627-0D28-479E-B085-59EB0456393E}">
      <formula1>lstContinent</formula1>
    </dataValidation>
    <dataValidation type="textLength" showInputMessage="1" showErrorMessage="1" error="The federation's name is required!" prompt="Please enter the name of your federation" sqref="C3" xr:uid="{055C8927-1177-40DE-8587-01B7F15D1A6F}">
      <formula1>1</formula1>
      <formula2>120</formula2>
    </dataValidation>
    <dataValidation allowBlank="1" showInputMessage="1" showErrorMessage="1" prompt="Please provide us with a telephone number to discuss possible questions." sqref="C6:D6" xr:uid="{3D1A9E16-E0ED-436D-900F-BE995A2EA0C2}"/>
    <dataValidation allowBlank="1" showInputMessage="1" showErrorMessage="1" error="Please select one of the available options!" sqref="AL20:AL49" xr:uid="{9A4BE39E-5591-4B4B-AAB2-6F9AA7ED1863}"/>
    <dataValidation type="list" allowBlank="1" showInputMessage="1" showErrorMessage="1" error="Please select one of the available options!" prompt="Please select the appropriate room type" sqref="AC20:AC49" xr:uid="{9568B0EA-984F-423C-9948-40C8637A69E6}">
      <formula1>INDIRECT(BU20)</formula1>
    </dataValidation>
    <dataValidation allowBlank="1" showInputMessage="1" showErrorMessage="1" prompt="If arriving by plane or train, please provide the name of the airport/train station where the member started her/his LAST leg." sqref="N20:N49" xr:uid="{C1DC6C34-B7A7-4410-9184-EA4BFBD13D7E}"/>
    <dataValidation type="list" allowBlank="1" showInputMessage="1" showErrorMessage="1" error="Please select one of the available options!" prompt="Please select the airport/train station from where the member departs." sqref="T20:T49" xr:uid="{7B2F7D6B-AFF2-4BB9-BD22-2289B06B0BF3}">
      <formula1>lstTravelLocation</formula1>
    </dataValidation>
    <dataValidation allowBlank="1" showInputMessage="1" showErrorMessage="1" prompt="If arriving by plane, please provide the name of the airport where the member started her/his LAST leg." sqref="O20:O49" xr:uid="{5463C993-5CB2-499D-A6F1-4A11BD610A3D}"/>
    <dataValidation type="list" allowBlank="1" showInputMessage="1" showErrorMessage="1" error="Please select one of the available options!" prompt="Please select the airport where the member arrives." sqref="P20:P49 U20:U49" xr:uid="{EBF36FF2-BB59-4D3C-B885-AD8F43A15DDB}">
      <formula1>lstTravelLocation</formula1>
    </dataValidation>
    <dataValidation allowBlank="1" showInputMessage="1" showErrorMessage="1" prompt="If arriving by plane, please provide the flight number." sqref="Q20:Q49" xr:uid="{560768E9-D4F1-46F1-B505-6718614FC7D7}"/>
    <dataValidation allowBlank="1" showInputMessage="1" showErrorMessage="1" prompt="If leaving by plane, please provide the name of the airport where the member will arrive first." sqref="V20:V49" xr:uid="{30058E24-8619-438D-8712-E4A656E8B071}"/>
    <dataValidation allowBlank="1" showInputMessage="1" showErrorMessage="1" prompt="If departing by plane, please provide the flight number." sqref="W20" xr:uid="{B70CC9B5-0C1B-4CB7-AADE-0EC76E387FAD}"/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3" id="{D6092435-124C-438C-A17B-E2E21DE0D9C0}">
            <xm:f>AND(VLOOKUP($D20,'\Users\Denis\Desktop\Judo\Interreg\Aktionen\2019.09.29 EOpen2019 LUX\other departments\Accreditation\bearbeiten\[Meldeformular Saarbrücken 2018 final TESTS - dbV1.xlsx]Parameters'!#REF!,6,0)&lt;&gt;"Athlete",$F20&lt;&gt;"YES")</xm:f>
            <x14:dxf>
              <font>
                <color rgb="FF9C0006"/>
              </font>
              <fill>
                <patternFill>
                  <bgColor theme="0" tint="-0.24994659260841701"/>
                </patternFill>
              </fill>
            </x14:dxf>
          </x14:cfRule>
          <xm:sqref>E20:E49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84A46-6400-49B7-A7B9-B3CA05367984}">
  <dimension ref="A3:I25"/>
  <sheetViews>
    <sheetView zoomScale="70" zoomScaleNormal="70" workbookViewId="0"/>
  </sheetViews>
  <sheetFormatPr baseColWidth="10" defaultRowHeight="14.4"/>
  <cols>
    <col min="1" max="16384" width="11.5546875" style="30"/>
  </cols>
  <sheetData>
    <row r="3" spans="1:9" ht="21">
      <c r="A3" s="222" t="s">
        <v>152</v>
      </c>
      <c r="B3" s="222"/>
      <c r="C3" s="222"/>
      <c r="D3" s="222"/>
      <c r="E3" s="222"/>
      <c r="F3" s="222"/>
      <c r="G3" s="222"/>
      <c r="H3" s="222"/>
      <c r="I3" s="222"/>
    </row>
    <row r="5" spans="1:9">
      <c r="A5" s="30" t="s">
        <v>153</v>
      </c>
    </row>
    <row r="6" spans="1:9" ht="15.6">
      <c r="A6" s="30" t="s">
        <v>194</v>
      </c>
    </row>
    <row r="7" spans="1:9">
      <c r="A7" s="30" t="s">
        <v>154</v>
      </c>
    </row>
    <row r="9" spans="1:9" ht="16.2" thickBot="1">
      <c r="A9" s="223" t="s">
        <v>155</v>
      </c>
      <c r="B9" s="223"/>
      <c r="C9" s="223"/>
      <c r="D9" s="223"/>
      <c r="E9" s="223"/>
      <c r="F9" s="223"/>
      <c r="G9" s="223"/>
      <c r="H9" s="223"/>
      <c r="I9" s="223"/>
    </row>
    <row r="10" spans="1:9" ht="16.2" thickBot="1">
      <c r="A10" s="95" t="s">
        <v>156</v>
      </c>
      <c r="B10" s="96" t="s">
        <v>30</v>
      </c>
      <c r="C10" s="97">
        <f>Parameters!$M$3</f>
        <v>43734</v>
      </c>
      <c r="D10" s="97">
        <f>Parameters!$M$4</f>
        <v>43735</v>
      </c>
      <c r="E10" s="97">
        <f>Parameters!$M$5</f>
        <v>43736</v>
      </c>
      <c r="F10" s="98">
        <f>Parameters!$M$6</f>
        <v>43737</v>
      </c>
      <c r="G10" s="99">
        <f>Parameters!$M$7</f>
        <v>43738</v>
      </c>
      <c r="H10" s="99">
        <f>Parameters!$O$6</f>
        <v>43739</v>
      </c>
      <c r="I10" s="100" t="s">
        <v>157</v>
      </c>
    </row>
    <row r="11" spans="1:9" ht="15.6">
      <c r="A11" s="101" t="s">
        <v>60</v>
      </c>
      <c r="B11" s="102" t="s">
        <v>158</v>
      </c>
      <c r="C11" s="103">
        <f>COUNTIFS('Data entry form'!Z$20:Z$49,"="&amp;"*"&amp;$A11&amp;"*",'Data entry form'!$D$20:$D$49,"="&amp;"*, "&amp;$B11&amp;"*")</f>
        <v>0</v>
      </c>
      <c r="D11" s="103">
        <f>COUNTIFS('Data entry form'!AA$20:AA$49,"="&amp;"*"&amp;$A11&amp;"*",'Data entry form'!$D$20:$D$49,"="&amp;"*, "&amp;$B11&amp;"*")</f>
        <v>0</v>
      </c>
      <c r="E11" s="103">
        <f>COUNTIFS('Data entry form'!AB$20:AB$49,"="&amp;"*"&amp;$A11&amp;"*",'Data entry form'!$D$20:$D$49,"="&amp;"*, "&amp;$B11&amp;"*")</f>
        <v>0</v>
      </c>
      <c r="F11" s="103">
        <f>COUNTIFS('Data entry form'!AC$20:AC$49,"="&amp;"*"&amp;$A11&amp;"*",'Data entry form'!$D$20:$D$49,"="&amp;"*, "&amp;$B11&amp;"*")</f>
        <v>0</v>
      </c>
      <c r="G11" s="103">
        <f>COUNTIFS('Data entry form'!AD$20:AD$49,"="&amp;"*"&amp;$A11&amp;"*",'Data entry form'!$D$20:$D$49,"="&amp;"*, "&amp;$B11&amp;"*")</f>
        <v>0</v>
      </c>
      <c r="H11" s="103">
        <f>COUNTIFS('Data entry form'!AE$20:AE$49,"="&amp;"*"&amp;$A11&amp;"*",'Data entry form'!$D$20:$D$49,"="&amp;"*, "&amp;$B11&amp;"*")</f>
        <v>0</v>
      </c>
      <c r="I11" s="104">
        <f t="shared" ref="I11:I21" si="0">SUM(C11:H11)</f>
        <v>0</v>
      </c>
    </row>
    <row r="12" spans="1:9" ht="16.2" thickBot="1">
      <c r="A12" s="105" t="s">
        <v>60</v>
      </c>
      <c r="B12" s="106" t="s">
        <v>159</v>
      </c>
      <c r="C12" s="103">
        <f>COUNTIFS('Data entry form'!Z$20:Z$49,"="&amp;"*"&amp;$A12&amp;"*",'Data entry form'!$D$20:$D$49,"="&amp;"*, "&amp;$B12&amp;"*")</f>
        <v>0</v>
      </c>
      <c r="D12" s="103">
        <f>COUNTIFS('Data entry form'!AA$20:AA$49,"="&amp;"*"&amp;$A12&amp;"*",'Data entry form'!$D$20:$D$49,"="&amp;"*, "&amp;$B12&amp;"*")</f>
        <v>0</v>
      </c>
      <c r="E12" s="103">
        <f>COUNTIFS('Data entry form'!AB$20:AB$49,"="&amp;"*"&amp;$A12&amp;"*",'Data entry form'!$D$20:$D$49,"="&amp;"*, "&amp;$B12&amp;"*")</f>
        <v>0</v>
      </c>
      <c r="F12" s="103">
        <f>COUNTIFS('Data entry form'!AC$20:AC$49,"="&amp;"*"&amp;$A12&amp;"*",'Data entry form'!$D$20:$D$49,"="&amp;"*, "&amp;$B12&amp;"*")</f>
        <v>0</v>
      </c>
      <c r="G12" s="103">
        <f>COUNTIFS('Data entry form'!AD$20:AD$49,"="&amp;"*"&amp;$A12&amp;"*",'Data entry form'!$D$20:$D$49,"="&amp;"*, "&amp;$B12&amp;"*")</f>
        <v>0</v>
      </c>
      <c r="H12" s="103">
        <f>COUNTIFS('Data entry form'!AE$20:AE$49,"="&amp;"*"&amp;$A12&amp;"*",'Data entry form'!$D$20:$D$49,"="&amp;"*, "&amp;$B12&amp;"*")</f>
        <v>0</v>
      </c>
      <c r="I12" s="107">
        <f t="shared" si="0"/>
        <v>0</v>
      </c>
    </row>
    <row r="13" spans="1:9" ht="16.2" thickBot="1">
      <c r="A13" s="108" t="s">
        <v>60</v>
      </c>
      <c r="B13" s="109" t="s">
        <v>157</v>
      </c>
      <c r="C13" s="110">
        <f>SUM(C11:C12)</f>
        <v>0</v>
      </c>
      <c r="D13" s="110">
        <f t="shared" ref="D13:H13" si="1">SUM(D11:D12)</f>
        <v>0</v>
      </c>
      <c r="E13" s="110">
        <f t="shared" si="1"/>
        <v>0</v>
      </c>
      <c r="F13" s="110">
        <f t="shared" si="1"/>
        <v>0</v>
      </c>
      <c r="G13" s="110">
        <f t="shared" si="1"/>
        <v>0</v>
      </c>
      <c r="H13" s="110">
        <f t="shared" si="1"/>
        <v>0</v>
      </c>
      <c r="I13" s="111">
        <f t="shared" si="0"/>
        <v>0</v>
      </c>
    </row>
    <row r="14" spans="1:9" ht="15.6">
      <c r="A14" s="101" t="s">
        <v>63</v>
      </c>
      <c r="B14" s="102" t="s">
        <v>158</v>
      </c>
      <c r="C14" s="103">
        <f>COUNTIFS('Data entry form'!Z$20:Z$49,"="&amp;"*"&amp;$A14&amp;"*",'Data entry form'!$D$20:$D$49,"="&amp;"*, "&amp;$B14&amp;"*")</f>
        <v>0</v>
      </c>
      <c r="D14" s="103">
        <f>COUNTIFS('Data entry form'!AA$20:AA$49,"="&amp;"*"&amp;$A14&amp;"*",'Data entry form'!$D$20:$D$49,"="&amp;"*, "&amp;$B14&amp;"*")</f>
        <v>0</v>
      </c>
      <c r="E14" s="103">
        <f>COUNTIFS('Data entry form'!AB$20:AB$49,"="&amp;"*"&amp;$A14&amp;"*",'Data entry form'!$D$20:$D$49,"="&amp;"*, "&amp;$B14&amp;"*")</f>
        <v>0</v>
      </c>
      <c r="F14" s="103">
        <f>COUNTIFS('Data entry form'!AC$20:AC$49,"="&amp;"*"&amp;$A14&amp;"*",'Data entry form'!$D$20:$D$49,"="&amp;"*, "&amp;$B14&amp;"*")</f>
        <v>0</v>
      </c>
      <c r="G14" s="103">
        <f>COUNTIFS('Data entry form'!AD$20:AD$49,"="&amp;"*"&amp;$A14&amp;"*",'Data entry form'!$D$20:$D$49,"="&amp;"*, "&amp;$B14&amp;"*")</f>
        <v>0</v>
      </c>
      <c r="H14" s="103">
        <f>COUNTIFS('Data entry form'!AE$20:AE$49,"="&amp;"*"&amp;$A14&amp;"*",'Data entry form'!$D$20:$D$49,"="&amp;"*, "&amp;$B14&amp;"*")</f>
        <v>0</v>
      </c>
      <c r="I14" s="104">
        <f t="shared" si="0"/>
        <v>0</v>
      </c>
    </row>
    <row r="15" spans="1:9" ht="16.2" thickBot="1">
      <c r="A15" s="105" t="s">
        <v>63</v>
      </c>
      <c r="B15" s="106" t="s">
        <v>159</v>
      </c>
      <c r="C15" s="112">
        <f>COUNTIFS('Data entry form'!Z$20:Z$49,"="&amp;"*"&amp;$A15&amp;"*",'Data entry form'!$D$20:$D$49,"="&amp;"*, "&amp;$B15&amp;"*")</f>
        <v>0</v>
      </c>
      <c r="D15" s="112">
        <f>COUNTIFS('Data entry form'!AA$20:AA$49,"="&amp;"*"&amp;$A15&amp;"*",'Data entry form'!$D$20:$D$49,"="&amp;"*, "&amp;$B15&amp;"*")</f>
        <v>0</v>
      </c>
      <c r="E15" s="112">
        <f>COUNTIFS('Data entry form'!AB$20:AB$49,"="&amp;"*"&amp;$A15&amp;"*",'Data entry form'!$D$20:$D$49,"="&amp;"*, "&amp;$B15&amp;"*")</f>
        <v>0</v>
      </c>
      <c r="F15" s="112">
        <f>COUNTIFS('Data entry form'!AC$20:AC$49,"="&amp;"*"&amp;$A15&amp;"*",'Data entry form'!$D$20:$D$49,"="&amp;"*, "&amp;$B15&amp;"*")</f>
        <v>0</v>
      </c>
      <c r="G15" s="112">
        <f>COUNTIFS('Data entry form'!AD$20:AD$49,"="&amp;"*"&amp;$A15&amp;"*",'Data entry form'!$D$20:$D$49,"="&amp;"*, "&amp;$B15&amp;"*")</f>
        <v>0</v>
      </c>
      <c r="H15" s="112">
        <f>COUNTIFS('Data entry form'!AE$20:AE$49,"="&amp;"*"&amp;$A15&amp;"*",'Data entry form'!$D$20:$D$49,"="&amp;"*, "&amp;$B15&amp;"*")</f>
        <v>0</v>
      </c>
      <c r="I15" s="107">
        <f t="shared" si="0"/>
        <v>0</v>
      </c>
    </row>
    <row r="16" spans="1:9" ht="16.2" thickBot="1">
      <c r="A16" s="108" t="s">
        <v>63</v>
      </c>
      <c r="B16" s="109" t="s">
        <v>157</v>
      </c>
      <c r="C16" s="110">
        <f>SUM(C14:C15)</f>
        <v>0</v>
      </c>
      <c r="D16" s="110">
        <f t="shared" ref="D16" si="2">SUM(D14:D15)</f>
        <v>0</v>
      </c>
      <c r="E16" s="110">
        <f t="shared" ref="E16" si="3">SUM(E14:E15)</f>
        <v>0</v>
      </c>
      <c r="F16" s="110">
        <f t="shared" ref="F16" si="4">SUM(F14:F15)</f>
        <v>0</v>
      </c>
      <c r="G16" s="110">
        <f t="shared" ref="G16" si="5">SUM(G14:G15)</f>
        <v>0</v>
      </c>
      <c r="H16" s="110">
        <f t="shared" ref="H16" si="6">SUM(H14:H15)</f>
        <v>0</v>
      </c>
      <c r="I16" s="111">
        <f t="shared" ref="I16:I19" si="7">SUM(C16:H16)</f>
        <v>0</v>
      </c>
    </row>
    <row r="17" spans="1:9" ht="15.6">
      <c r="A17" s="101" t="s">
        <v>163</v>
      </c>
      <c r="B17" s="102" t="s">
        <v>158</v>
      </c>
      <c r="C17" s="103">
        <f>COUNTIFS('Data entry form'!Z$20:Z$49,"="&amp;"*"&amp;$A17&amp;"*",'Data entry form'!$D$20:$D$49,"="&amp;"*, "&amp;$B17&amp;"*")</f>
        <v>0</v>
      </c>
      <c r="D17" s="103">
        <f>COUNTIFS('Data entry form'!AA$20:AA$49,"="&amp;"*"&amp;$A17&amp;"*",'Data entry form'!$D$20:$D$49,"="&amp;"*, "&amp;$B17&amp;"*")</f>
        <v>0</v>
      </c>
      <c r="E17" s="103">
        <f>COUNTIFS('Data entry form'!AB$20:AB$49,"="&amp;"*"&amp;$A17&amp;"*",'Data entry form'!$D$20:$D$49,"="&amp;"*, "&amp;$B17&amp;"*")</f>
        <v>0</v>
      </c>
      <c r="F17" s="103">
        <f>COUNTIFS('Data entry form'!AC$20:AC$49,"="&amp;"*"&amp;$A17&amp;"*",'Data entry form'!$D$20:$D$49,"="&amp;"*, "&amp;$B17&amp;"*")</f>
        <v>0</v>
      </c>
      <c r="G17" s="103">
        <f>COUNTIFS('Data entry form'!AD$20:AD$49,"="&amp;"*"&amp;$A17&amp;"*",'Data entry form'!$D$20:$D$49,"="&amp;"*, "&amp;$B17&amp;"*")</f>
        <v>0</v>
      </c>
      <c r="H17" s="103">
        <f>COUNTIFS('Data entry form'!AE$20:AE$49,"="&amp;"*"&amp;$A17&amp;"*",'Data entry form'!$D$20:$D$49,"="&amp;"*, "&amp;$B17&amp;"*")</f>
        <v>0</v>
      </c>
      <c r="I17" s="104">
        <f t="shared" si="7"/>
        <v>0</v>
      </c>
    </row>
    <row r="18" spans="1:9" ht="16.2" thickBot="1">
      <c r="A18" s="105" t="s">
        <v>163</v>
      </c>
      <c r="B18" s="106" t="s">
        <v>159</v>
      </c>
      <c r="C18" s="103">
        <f>COUNTIFS('Data entry form'!Z$20:Z$49,"="&amp;"*"&amp;$A18&amp;"*",'Data entry form'!$D$20:$D$49,"="&amp;"*, "&amp;$B18&amp;"*")</f>
        <v>0</v>
      </c>
      <c r="D18" s="112">
        <f>COUNTIFS('Data entry form'!AA$20:AA$49,"="&amp;"*"&amp;$A18&amp;"*",'Data entry form'!$D$20:$D$49,"="&amp;"*, "&amp;$B18&amp;"*")</f>
        <v>0</v>
      </c>
      <c r="E18" s="112">
        <f>COUNTIFS('Data entry form'!AB$20:AB$49,"="&amp;"*"&amp;$A18&amp;"*",'Data entry form'!$D$20:$D$49,"="&amp;"*, "&amp;$B18&amp;"*")</f>
        <v>0</v>
      </c>
      <c r="F18" s="112">
        <f>COUNTIFS('Data entry form'!AC$20:AC$49,"="&amp;"*"&amp;$A18&amp;"*",'Data entry form'!$D$20:$D$49,"="&amp;"*, "&amp;$B18&amp;"*")</f>
        <v>0</v>
      </c>
      <c r="G18" s="112">
        <f>COUNTIFS('Data entry form'!AD$20:AD$49,"="&amp;"*"&amp;$A18&amp;"*",'Data entry form'!$D$20:$D$49,"="&amp;"*, "&amp;$B18&amp;"*")</f>
        <v>0</v>
      </c>
      <c r="H18" s="112">
        <f>COUNTIFS('Data entry form'!AE$20:AE$49,"="&amp;"*"&amp;$A18&amp;"*",'Data entry form'!$D$20:$D$49,"="&amp;"*, "&amp;$B18&amp;"*")</f>
        <v>0</v>
      </c>
      <c r="I18" s="107">
        <f t="shared" si="7"/>
        <v>0</v>
      </c>
    </row>
    <row r="19" spans="1:9" ht="16.2" thickBot="1">
      <c r="A19" s="113" t="s">
        <v>163</v>
      </c>
      <c r="B19" s="114" t="s">
        <v>157</v>
      </c>
      <c r="C19" s="115">
        <f>SUM(C17:C18)</f>
        <v>0</v>
      </c>
      <c r="D19" s="115">
        <f t="shared" ref="D19" si="8">SUM(D17:D18)</f>
        <v>0</v>
      </c>
      <c r="E19" s="115">
        <f t="shared" ref="E19" si="9">SUM(E17:E18)</f>
        <v>0</v>
      </c>
      <c r="F19" s="115">
        <f t="shared" ref="F19" si="10">SUM(F17:F18)</f>
        <v>0</v>
      </c>
      <c r="G19" s="115">
        <f t="shared" ref="G19" si="11">SUM(G17:G18)</f>
        <v>0</v>
      </c>
      <c r="H19" s="115">
        <f t="shared" ref="H19" si="12">SUM(H17:H18)</f>
        <v>0</v>
      </c>
      <c r="I19" s="116">
        <f t="shared" si="7"/>
        <v>0</v>
      </c>
    </row>
    <row r="20" spans="1:9" ht="15.6">
      <c r="A20" s="101" t="s">
        <v>71</v>
      </c>
      <c r="B20" s="102" t="s">
        <v>158</v>
      </c>
      <c r="C20" s="103">
        <f>COUNTIFS('Data entry form'!Z$20:Z$49,"="&amp;"*"&amp;$A20&amp;"*",'Data entry form'!$D$20:$D$49,"="&amp;"*, "&amp;$B20&amp;"*")</f>
        <v>0</v>
      </c>
      <c r="D20" s="103">
        <f>COUNTIFS('Data entry form'!AA$20:AA$49,"="&amp;"*"&amp;$A20&amp;"*",'Data entry form'!$D$20:$D$49,"="&amp;"*, "&amp;$B20&amp;"*")</f>
        <v>0</v>
      </c>
      <c r="E20" s="103">
        <f>COUNTIFS('Data entry form'!AB$20:AB$49,"="&amp;"*"&amp;$A20&amp;"*",'Data entry form'!$D$20:$D$49,"="&amp;"*, "&amp;$B20&amp;"*")</f>
        <v>0</v>
      </c>
      <c r="F20" s="103">
        <f>COUNTIFS('Data entry form'!AC$20:AC$49,"="&amp;"*"&amp;$A20&amp;"*",'Data entry form'!$D$20:$D$49,"="&amp;"*, "&amp;$B20&amp;"*")</f>
        <v>0</v>
      </c>
      <c r="G20" s="103">
        <f>COUNTIFS('Data entry form'!AD$20:AD$49,"="&amp;"*"&amp;$A20&amp;"*",'Data entry form'!$D$20:$D$49,"="&amp;"*, "&amp;$B20&amp;"*")</f>
        <v>0</v>
      </c>
      <c r="H20" s="103">
        <f>COUNTIFS('Data entry form'!AE$20:AE$49,"="&amp;"*"&amp;$A20&amp;"*",'Data entry form'!$D$20:$D$49,"="&amp;"*, "&amp;$B20&amp;"*")</f>
        <v>0</v>
      </c>
      <c r="I20" s="104">
        <f t="shared" si="0"/>
        <v>0</v>
      </c>
    </row>
    <row r="21" spans="1:9" ht="16.2" thickBot="1">
      <c r="A21" s="105" t="s">
        <v>71</v>
      </c>
      <c r="B21" s="106" t="s">
        <v>159</v>
      </c>
      <c r="C21" s="112">
        <f>COUNTIFS('Data entry form'!Z$20:Z$49,"="&amp;"*"&amp;$A21&amp;"*",'Data entry form'!$D$20:$D$49,"="&amp;"*, "&amp;$B21&amp;"*")</f>
        <v>0</v>
      </c>
      <c r="D21" s="112">
        <f>COUNTIFS('Data entry form'!AA$20:AA$49,"="&amp;"*"&amp;$A21&amp;"*",'Data entry form'!$D$20:$D$49,"="&amp;"*, "&amp;$B21&amp;"*")</f>
        <v>0</v>
      </c>
      <c r="E21" s="112">
        <f>COUNTIFS('Data entry form'!AB$20:AB$49,"="&amp;"*"&amp;$A21&amp;"*",'Data entry form'!$D$20:$D$49,"="&amp;"*, "&amp;$B21&amp;"*")</f>
        <v>0</v>
      </c>
      <c r="F21" s="112">
        <f>COUNTIFS('Data entry form'!AC$20:AC$49,"="&amp;"*"&amp;$A21&amp;"*",'Data entry form'!$D$20:$D$49,"="&amp;"*, "&amp;$B21&amp;"*")</f>
        <v>0</v>
      </c>
      <c r="G21" s="112">
        <f>COUNTIFS('Data entry form'!AD$20:AD$49,"="&amp;"*"&amp;$A21&amp;"*",'Data entry form'!$D$20:$D$49,"="&amp;"*, "&amp;$B21&amp;"*")</f>
        <v>0</v>
      </c>
      <c r="H21" s="112">
        <f>COUNTIFS('Data entry form'!AE$20:AE$49,"="&amp;"*"&amp;$A21&amp;"*",'Data entry form'!$D$20:$D$49,"="&amp;"*, "&amp;$B21&amp;"*")</f>
        <v>0</v>
      </c>
      <c r="I21" s="107">
        <f t="shared" si="0"/>
        <v>0</v>
      </c>
    </row>
    <row r="22" spans="1:9" ht="16.2" thickBot="1">
      <c r="A22" s="117" t="s">
        <v>71</v>
      </c>
      <c r="B22" s="118" t="s">
        <v>157</v>
      </c>
      <c r="C22" s="119">
        <f>SUM(C20:C21)</f>
        <v>0</v>
      </c>
      <c r="D22" s="119">
        <f t="shared" ref="D22" si="13">SUM(D20:D21)</f>
        <v>0</v>
      </c>
      <c r="E22" s="119">
        <f t="shared" ref="E22" si="14">SUM(E20:E21)</f>
        <v>0</v>
      </c>
      <c r="F22" s="119">
        <f t="shared" ref="F22" si="15">SUM(F20:F21)</f>
        <v>0</v>
      </c>
      <c r="G22" s="119">
        <f t="shared" ref="G22" si="16">SUM(G20:G21)</f>
        <v>0</v>
      </c>
      <c r="H22" s="119">
        <f t="shared" ref="H22" si="17">SUM(H20:H21)</f>
        <v>0</v>
      </c>
      <c r="I22" s="120">
        <f t="shared" ref="I22" si="18">SUM(C22:H22)</f>
        <v>0</v>
      </c>
    </row>
    <row r="23" spans="1:9" ht="16.2" thickBot="1">
      <c r="A23" s="226" t="s">
        <v>162</v>
      </c>
      <c r="B23" s="227"/>
      <c r="C23" s="121">
        <f>SUM(C22,C16,C13,C19)</f>
        <v>0</v>
      </c>
      <c r="D23" s="121">
        <f t="shared" ref="D23:I23" si="19">SUM(D22,D16,D13,D19)</f>
        <v>0</v>
      </c>
      <c r="E23" s="121">
        <f t="shared" si="19"/>
        <v>0</v>
      </c>
      <c r="F23" s="121">
        <f t="shared" si="19"/>
        <v>0</v>
      </c>
      <c r="G23" s="121">
        <f t="shared" si="19"/>
        <v>0</v>
      </c>
      <c r="H23" s="121">
        <f t="shared" si="19"/>
        <v>0</v>
      </c>
      <c r="I23" s="122">
        <f t="shared" si="19"/>
        <v>0</v>
      </c>
    </row>
    <row r="24" spans="1:9" ht="15.6">
      <c r="C24" s="123"/>
      <c r="D24" s="123"/>
      <c r="E24" s="123"/>
      <c r="F24" s="123"/>
      <c r="G24" s="123"/>
      <c r="H24" s="123"/>
      <c r="I24" s="124"/>
    </row>
    <row r="25" spans="1:9" ht="15.6">
      <c r="A25" s="224" t="s">
        <v>160</v>
      </c>
      <c r="B25" s="224"/>
      <c r="C25" s="225" t="s">
        <v>161</v>
      </c>
      <c r="D25" s="225"/>
      <c r="E25" s="225"/>
      <c r="F25" s="225"/>
      <c r="G25" s="225"/>
      <c r="H25" s="225"/>
      <c r="I25" s="225"/>
    </row>
  </sheetData>
  <sheetProtection algorithmName="SHA-512" hashValue="HghO0mlv0SwWuD3qNpiRIPHKfyLPJSw356Qo6ys28KGoQxwGjRobPE5XZD93W/Y+83uzdi/VlkOhGepETBUUeA==" saltValue="vrJott3P/g2pgM8VeDoihw==" spinCount="100000" sheet="1" objects="1" scenarios="1"/>
  <mergeCells count="5">
    <mergeCell ref="A3:I3"/>
    <mergeCell ref="A9:I9"/>
    <mergeCell ref="A25:B25"/>
    <mergeCell ref="C25:I25"/>
    <mergeCell ref="A23:B23"/>
  </mergeCells>
  <conditionalFormatting sqref="C14:H16">
    <cfRule type="expression" dxfId="41" priority="4">
      <formula>MOD(C14,2)&gt;0</formula>
    </cfRule>
  </conditionalFormatting>
  <conditionalFormatting sqref="C20:H22">
    <cfRule type="expression" dxfId="40" priority="3">
      <formula>OR(C20=5,AND(C20&lt;3,C20&gt;0))</formula>
    </cfRule>
  </conditionalFormatting>
  <conditionalFormatting sqref="C17:H18">
    <cfRule type="expression" dxfId="39" priority="2">
      <formula>MOD(C17,3)&gt;0</formula>
    </cfRule>
  </conditionalFormatting>
  <conditionalFormatting sqref="C19:H19">
    <cfRule type="expression" dxfId="38" priority="1">
      <formula>MOD(C19,3)&gt;0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FF4E2-593F-4099-BAE7-C560CCA714F8}">
  <sheetPr>
    <pageSetUpPr fitToPage="1"/>
  </sheetPr>
  <dimension ref="A6:H46"/>
  <sheetViews>
    <sheetView topLeftCell="A16" zoomScaleNormal="100" workbookViewId="0">
      <selection activeCell="B33" sqref="B33:D33"/>
    </sheetView>
  </sheetViews>
  <sheetFormatPr baseColWidth="10" defaultRowHeight="14.4"/>
  <cols>
    <col min="1" max="3" width="11.5546875" style="30"/>
    <col min="4" max="4" width="8" style="30" customWidth="1"/>
    <col min="5" max="16384" width="11.5546875" style="30"/>
  </cols>
  <sheetData>
    <row r="6" spans="1:8" ht="25.8">
      <c r="A6" s="234" t="s">
        <v>189</v>
      </c>
      <c r="B6" s="234"/>
      <c r="C6" s="234"/>
      <c r="D6" s="234"/>
      <c r="E6" s="234"/>
      <c r="F6" s="234"/>
      <c r="G6" s="234"/>
      <c r="H6" s="234"/>
    </row>
    <row r="7" spans="1:8" ht="15.6">
      <c r="A7" s="235" t="s">
        <v>190</v>
      </c>
      <c r="B7" s="235"/>
      <c r="C7" s="235"/>
      <c r="D7" s="235"/>
      <c r="E7" s="235"/>
      <c r="F7" s="235"/>
      <c r="G7" s="235"/>
      <c r="H7" s="235"/>
    </row>
    <row r="10" spans="1:8">
      <c r="A10" s="236" t="s">
        <v>192</v>
      </c>
      <c r="B10" s="236"/>
      <c r="C10" s="236"/>
      <c r="D10" s="125"/>
      <c r="E10" s="125"/>
      <c r="G10" s="126" t="s">
        <v>191</v>
      </c>
      <c r="H10" s="126"/>
    </row>
    <row r="11" spans="1:8">
      <c r="A11" s="228">
        <f>Federation</f>
        <v>0</v>
      </c>
      <c r="B11" s="228"/>
      <c r="C11" s="228"/>
      <c r="G11" s="127" t="s">
        <v>176</v>
      </c>
      <c r="H11" s="127"/>
    </row>
    <row r="12" spans="1:8">
      <c r="A12" s="228" t="s">
        <v>168</v>
      </c>
      <c r="B12" s="228"/>
      <c r="C12" s="228"/>
      <c r="G12" s="127" t="s">
        <v>177</v>
      </c>
      <c r="H12" s="127"/>
    </row>
    <row r="13" spans="1:8">
      <c r="A13" s="228" t="s">
        <v>168</v>
      </c>
      <c r="B13" s="228"/>
      <c r="C13" s="228"/>
      <c r="G13" s="127" t="s">
        <v>178</v>
      </c>
      <c r="H13" s="127"/>
    </row>
    <row r="14" spans="1:8">
      <c r="A14" s="228" t="s">
        <v>168</v>
      </c>
      <c r="B14" s="228"/>
      <c r="C14" s="228"/>
      <c r="G14" s="127" t="s">
        <v>179</v>
      </c>
      <c r="H14" s="127"/>
    </row>
    <row r="17" spans="1:8" ht="21">
      <c r="A17" s="128" t="s">
        <v>186</v>
      </c>
      <c r="B17" s="129"/>
      <c r="D17" s="240" t="s">
        <v>170</v>
      </c>
      <c r="E17" s="240"/>
      <c r="F17" s="240"/>
      <c r="G17" s="240"/>
      <c r="H17" s="130">
        <f ca="1">TODAY()</f>
        <v>43682</v>
      </c>
    </row>
    <row r="18" spans="1:8" ht="15.6">
      <c r="A18" s="131" t="s">
        <v>193</v>
      </c>
    </row>
    <row r="19" spans="1:8" ht="15" thickBot="1">
      <c r="G19" s="132"/>
    </row>
    <row r="20" spans="1:8" ht="16.2" customHeight="1" thickBot="1">
      <c r="A20" s="133"/>
      <c r="B20" s="241" t="s">
        <v>165</v>
      </c>
      <c r="C20" s="242"/>
      <c r="D20" s="243"/>
      <c r="E20" s="134" t="s">
        <v>40</v>
      </c>
      <c r="F20" s="135" t="s">
        <v>49</v>
      </c>
      <c r="G20" s="135" t="s">
        <v>166</v>
      </c>
      <c r="H20" s="136" t="s">
        <v>162</v>
      </c>
    </row>
    <row r="21" spans="1:8">
      <c r="A21" s="231" t="s">
        <v>181</v>
      </c>
      <c r="B21" s="229" t="s">
        <v>60</v>
      </c>
      <c r="C21" s="229"/>
      <c r="D21" s="229"/>
      <c r="E21" s="137">
        <f>IF(ISBLANK(HotelEJO),HotelTC,HotelEJO)</f>
        <v>0</v>
      </c>
      <c r="F21" s="138" t="str">
        <f>IFERROR(VLOOKUP(E21&amp;", "&amp;B21,tblRoomPricesSunday[],4,FALSE),"No Cat!")</f>
        <v>No Cat!</v>
      </c>
      <c r="G21" s="139">
        <f>COUNTIF('Data entry form'!$Z$20:$AE$49,E21&amp;", "&amp;B21)</f>
        <v>0</v>
      </c>
      <c r="H21" s="140" t="e">
        <f>G21*F21</f>
        <v>#VALUE!</v>
      </c>
    </row>
    <row r="22" spans="1:8">
      <c r="A22" s="232"/>
      <c r="B22" s="229" t="str">
        <f>IF(OR(HotelTC=HotelEJO,ISBLANK(HotelTC),ISBLANK(HotelEJO)),"","Single")</f>
        <v/>
      </c>
      <c r="C22" s="229"/>
      <c r="D22" s="229"/>
      <c r="E22" s="137" t="str">
        <f>IF(OR(HotelTC=HotelEJO,ISBLANK(HotelTC),ISBLANK(HotelEJO)),"",HotelTC)</f>
        <v/>
      </c>
      <c r="F22" s="138" t="str">
        <f>IF(OR(HotelTC=HotelEJO,ISBLANK(HotelTC),ISBLANK(HotelEJO)),"",'Data entry form'!$AC$14)</f>
        <v/>
      </c>
      <c r="G22" s="139" t="str">
        <f>IF(OR(HotelTC=HotelEJO,ISBLANK(HotelTC),ISBLANK(HotelEJO)),"",COUNTIF('Data entry form'!$Z$20:$AE$49,E22&amp;", "&amp;B22))</f>
        <v/>
      </c>
      <c r="H22" s="141" t="str">
        <f>IF(OR(HotelTC=HotelEJO,ISBLANK(HotelTC),ISBLANK(HotelEJO)),"",G22*F22)</f>
        <v/>
      </c>
    </row>
    <row r="23" spans="1:8">
      <c r="A23" s="232"/>
      <c r="B23" s="230" t="s">
        <v>63</v>
      </c>
      <c r="C23" s="230"/>
      <c r="D23" s="230"/>
      <c r="E23" s="137">
        <f>IF(ISBLANK(HotelEJO),HotelTC,HotelEJO)</f>
        <v>0</v>
      </c>
      <c r="F23" s="138" t="str">
        <f>IFERROR(VLOOKUP(E23&amp;", "&amp;B23,tblRoomPricesSunday[],4,FALSE),"No Cat!")</f>
        <v>No Cat!</v>
      </c>
      <c r="G23" s="139">
        <f>COUNTIF('Data entry form'!$Z$20:$AE$49,E23&amp;", "&amp;B23)</f>
        <v>0</v>
      </c>
      <c r="H23" s="141" t="e">
        <f t="shared" ref="H23:H36" si="0">G23*F23</f>
        <v>#VALUE!</v>
      </c>
    </row>
    <row r="24" spans="1:8">
      <c r="A24" s="232"/>
      <c r="B24" s="230" t="str">
        <f>IF(OR(HotelTC=HotelEJO,ISBLANK(HotelTC),ISBLANK(HotelEJO)),"","Double")</f>
        <v/>
      </c>
      <c r="C24" s="230"/>
      <c r="D24" s="230"/>
      <c r="E24" s="137" t="str">
        <f>IF(OR(HotelTC=HotelEJO,ISBLANK(HotelTC),ISBLANK(HotelEJO)),"",HotelTC)</f>
        <v/>
      </c>
      <c r="F24" s="138" t="str">
        <f>IF(OR(HotelTC=HotelEJO,ISBLANK(HotelTC),ISBLANK(HotelEJO)),"",'Data entry form'!$AD$14)</f>
        <v/>
      </c>
      <c r="G24" s="139" t="str">
        <f>IF(OR(HotelTC=HotelEJO,ISBLANK(HotelTC),ISBLANK(HotelEJO)),"",COUNTIF('Data entry form'!$Z$20:$AE$49,E24&amp;", "&amp;B24))</f>
        <v/>
      </c>
      <c r="H24" s="141" t="str">
        <f>IF(OR(HotelTC=HotelEJO,ISBLANK(HotelTC),ISBLANK(HotelEJO)),"",G24*F24)</f>
        <v/>
      </c>
    </row>
    <row r="25" spans="1:8">
      <c r="A25" s="232"/>
      <c r="B25" s="230" t="str">
        <f>IF(OR(HotelEJO="Ibis",HotelTC="Ibis"),"Triple","")</f>
        <v/>
      </c>
      <c r="C25" s="230"/>
      <c r="D25" s="230"/>
      <c r="E25" s="137" t="str">
        <f>IF(OR(HotelEJO="Ibis",HotelTC="Ibis"),"Ibis","")</f>
        <v/>
      </c>
      <c r="F25" s="138" t="str">
        <f>IF(OR(HotelEJO="Ibis",HotelTC="Ibis"),IFERROR(VLOOKUP(E25&amp;", "&amp;B25,tblRoomPricesSunday[],4,FALSE),"No Cat!"),"")</f>
        <v/>
      </c>
      <c r="G25" s="139" t="str">
        <f>IF(OR(HotelEJO="Ibis",HotelTC="Ibis"),COUNTIF('Data entry form'!$Z$20:$AE$49,E25&amp;", "&amp;B25),"")</f>
        <v/>
      </c>
      <c r="H25" s="141" t="str">
        <f>IF(OR(HotelEJO="Ibis",HotelTC="Ibis"),G25*F25,"")</f>
        <v/>
      </c>
    </row>
    <row r="26" spans="1:8">
      <c r="A26" s="233"/>
      <c r="B26" s="230" t="str">
        <f>IF(HotelTC="Hostel","Shared","")</f>
        <v/>
      </c>
      <c r="C26" s="230"/>
      <c r="D26" s="230"/>
      <c r="E26" s="137" t="str">
        <f>IF(HotelTC="Hostel","Hostel","")</f>
        <v/>
      </c>
      <c r="F26" s="142" t="str">
        <f>IF(HotelTC="Hostel",65,"")</f>
        <v/>
      </c>
      <c r="G26" s="139" t="str">
        <f>IF(HotelTC="Hostel",COUNTIF('Data entry form'!$Z$20:$AE$49,E26&amp;", "&amp;B26),"")</f>
        <v/>
      </c>
      <c r="H26" s="141" t="str">
        <f>IF(HotelTC="Hostel",G26*F26,"")</f>
        <v/>
      </c>
    </row>
    <row r="27" spans="1:8">
      <c r="A27" s="143"/>
      <c r="B27" s="230"/>
      <c r="C27" s="230"/>
      <c r="D27" s="230"/>
      <c r="E27" s="137"/>
      <c r="F27" s="144"/>
      <c r="G27" s="145"/>
      <c r="H27" s="141"/>
    </row>
    <row r="28" spans="1:8">
      <c r="A28" s="244" t="s">
        <v>105</v>
      </c>
      <c r="B28" s="230" t="str">
        <f>IF(ISBLANK(HotelEJO),"","Lunch EJO")</f>
        <v/>
      </c>
      <c r="C28" s="230"/>
      <c r="D28" s="230"/>
      <c r="E28" s="137" t="str">
        <f>IF(ISBLANK(HotelEJO),"","Sports Hall")</f>
        <v/>
      </c>
      <c r="F28" s="144" t="str">
        <f>IF(ISBLANK(HotelEJO),"",15)</f>
        <v/>
      </c>
      <c r="G28" s="145" t="str">
        <f>IF(ISBLANK(HotelEJO),"",COUNTIF('Data entry form'!$BK$20:$BN$49,"+lunch")+COUNTIF('Data entry form'!$BK$20:$BN$49,"full board"))</f>
        <v/>
      </c>
      <c r="H28" s="141" t="str">
        <f>IF(ISBLANK(HotelEJO),"",G28*F28)</f>
        <v/>
      </c>
    </row>
    <row r="29" spans="1:8">
      <c r="A29" s="232"/>
      <c r="B29" s="230" t="str">
        <f>IF(ISBLANK(HotelEJO),"","Dinner EJO")</f>
        <v/>
      </c>
      <c r="C29" s="230"/>
      <c r="D29" s="230"/>
      <c r="E29" s="137" t="str">
        <f>IF(ISBLANK(HotelEJO),"",HotelEJO)</f>
        <v/>
      </c>
      <c r="F29" s="144" t="str">
        <f>IF(ISBLANK(HotelEJO),"",'Data entry form'!$AG$14)</f>
        <v/>
      </c>
      <c r="G29" s="145" t="str">
        <f>IF(ISBLANK(HotelEJO),"",COUNTIF('Data entry form'!$BK$20:$BN$49,"+dinner")+COUNTIF('Data entry form'!$BK$20:$BN$49,"full board"))</f>
        <v/>
      </c>
      <c r="H29" s="141" t="str">
        <f>IF(ISBLANK(HotelEJO),"",G29*F29)</f>
        <v/>
      </c>
    </row>
    <row r="30" spans="1:8">
      <c r="A30" s="233"/>
      <c r="B30" s="237" t="str">
        <f>IF(ISBLANK(HotelTC),"","Fullboard TC")</f>
        <v/>
      </c>
      <c r="C30" s="238"/>
      <c r="D30" s="239"/>
      <c r="E30" s="137" t="str">
        <f>IF(ISBLANK(HotelTC),"",HotelTC)</f>
        <v/>
      </c>
      <c r="F30" s="144" t="str">
        <f>IF(ISBLANK(HotelTC),"",'Data entry form'!$AI$14)</f>
        <v/>
      </c>
      <c r="G30" s="145" t="str">
        <f>IF(ISBLANK(HotelTC),"",COUNTIF('Data entry form'!$BO$20:$BQ$49,"full board"))</f>
        <v/>
      </c>
      <c r="H30" s="141" t="str">
        <f>IF(ISBLANK(HotelTC),"",G30*F30)</f>
        <v/>
      </c>
    </row>
    <row r="31" spans="1:8">
      <c r="A31" s="146"/>
      <c r="B31" s="237"/>
      <c r="C31" s="238"/>
      <c r="D31" s="239"/>
      <c r="E31" s="147"/>
      <c r="F31" s="144"/>
      <c r="G31" s="145"/>
      <c r="H31" s="141"/>
    </row>
    <row r="32" spans="1:8">
      <c r="A32" s="244" t="s">
        <v>171</v>
      </c>
      <c r="B32" s="237" t="str">
        <f>IF(ISBLANK(HotelEJO),"","EJU Fee EJO")</f>
        <v/>
      </c>
      <c r="C32" s="238"/>
      <c r="D32" s="239"/>
      <c r="E32" s="148"/>
      <c r="F32" s="144" t="str">
        <f>IF(ISBLANK(HotelEJO),"",20)</f>
        <v/>
      </c>
      <c r="G32" s="145" t="str">
        <f>IF(ISBLANK(HotelEJO),"",COUNTIF('Data entry form'!$AM$20:$AM$49,20))</f>
        <v/>
      </c>
      <c r="H32" s="141" t="str">
        <f>IF(ISBLANK(HotelEJO),"",G32*F32)</f>
        <v/>
      </c>
    </row>
    <row r="33" spans="1:8">
      <c r="A33" s="233"/>
      <c r="B33" s="237" t="str">
        <f>IF(ISBLANK(HotelTC),"","EJU Fee TC")</f>
        <v/>
      </c>
      <c r="C33" s="238"/>
      <c r="D33" s="239"/>
      <c r="E33" s="148" t="str">
        <f>IF(ISBLANK(HotelTC),"",IF(ContFede=Parameters!EJU,"EJU","non-EJU"))</f>
        <v/>
      </c>
      <c r="F33" s="144" t="str">
        <f>IF(ISBLANK(HotelTC),"",IF(ContFede=Parameters!EJU,30,100))</f>
        <v/>
      </c>
      <c r="G33" s="145" t="str">
        <f>IF(ISBLANK(HotelTC),"",COUNTIF('Data entry form'!$AN$20:$AN$50,1))</f>
        <v/>
      </c>
      <c r="H33" s="141" t="str">
        <f>IF(ISBLANK(HotelTC),"",G33*F33)</f>
        <v/>
      </c>
    </row>
    <row r="34" spans="1:8">
      <c r="A34" s="146"/>
      <c r="B34" s="230"/>
      <c r="C34" s="230"/>
      <c r="D34" s="230"/>
      <c r="E34" s="148"/>
      <c r="F34" s="144"/>
      <c r="G34" s="145"/>
      <c r="H34" s="141"/>
    </row>
    <row r="35" spans="1:8">
      <c r="A35" s="146"/>
      <c r="B35" s="230" t="s">
        <v>187</v>
      </c>
      <c r="C35" s="230"/>
      <c r="D35" s="230"/>
      <c r="E35" s="148"/>
      <c r="F35" s="144">
        <v>100</v>
      </c>
      <c r="G35" s="145">
        <f>COUNTIF('Data entry form'!AP20:AP49,100)</f>
        <v>0</v>
      </c>
      <c r="H35" s="141">
        <f t="shared" si="0"/>
        <v>0</v>
      </c>
    </row>
    <row r="36" spans="1:8">
      <c r="A36" s="149"/>
      <c r="B36" s="230" t="s">
        <v>188</v>
      </c>
      <c r="C36" s="230"/>
      <c r="D36" s="230"/>
      <c r="E36" s="150"/>
      <c r="F36" s="144">
        <v>100</v>
      </c>
      <c r="G36" s="151">
        <f>COUNTIF('Data entry form'!AQ20:AQ49,100)</f>
        <v>0</v>
      </c>
      <c r="H36" s="141">
        <f t="shared" si="0"/>
        <v>0</v>
      </c>
    </row>
    <row r="37" spans="1:8" ht="15" thickBot="1">
      <c r="A37" s="152">
        <f>A35+1</f>
        <v>1</v>
      </c>
      <c r="B37" s="247"/>
      <c r="C37" s="247"/>
      <c r="D37" s="247"/>
      <c r="E37" s="153"/>
      <c r="F37" s="154"/>
      <c r="G37" s="155"/>
      <c r="H37" s="156">
        <f t="shared" ref="H37" si="1">F37*G37</f>
        <v>0</v>
      </c>
    </row>
    <row r="38" spans="1:8" ht="16.2" thickBot="1">
      <c r="A38" s="248" t="s">
        <v>164</v>
      </c>
      <c r="B38" s="248"/>
      <c r="C38" s="248"/>
      <c r="D38" s="249" t="s">
        <v>167</v>
      </c>
      <c r="E38" s="249"/>
      <c r="F38" s="249"/>
      <c r="G38" s="249"/>
      <c r="H38" s="157" t="e">
        <f>SUM(H21:H37)</f>
        <v>#VALUE!</v>
      </c>
    </row>
    <row r="39" spans="1:8" ht="15" thickTop="1"/>
    <row r="40" spans="1:8" ht="15.6">
      <c r="C40" s="250" t="e">
        <f>IF($H$38='Data entry form'!$AL$19,"","Please check one more time if your data is correct!")</f>
        <v>#VALUE!</v>
      </c>
      <c r="D40" s="250"/>
      <c r="E40" s="250"/>
      <c r="F40" s="250"/>
      <c r="G40" s="250"/>
      <c r="H40" s="158"/>
    </row>
    <row r="41" spans="1:8" ht="15.6">
      <c r="A41" s="245" t="s">
        <v>180</v>
      </c>
      <c r="B41" s="246"/>
      <c r="C41" s="246"/>
      <c r="D41" s="246"/>
      <c r="E41" s="246"/>
      <c r="F41" s="246"/>
      <c r="G41" s="246"/>
      <c r="H41" s="159"/>
    </row>
    <row r="42" spans="1:8">
      <c r="A42" s="30" t="s">
        <v>195</v>
      </c>
      <c r="C42" s="30" t="s">
        <v>196</v>
      </c>
    </row>
    <row r="43" spans="1:8">
      <c r="A43" s="30" t="s">
        <v>197</v>
      </c>
      <c r="C43" s="30" t="s">
        <v>198</v>
      </c>
    </row>
    <row r="44" spans="1:8">
      <c r="A44" s="30" t="s">
        <v>199</v>
      </c>
      <c r="C44" s="30" t="s">
        <v>200</v>
      </c>
    </row>
    <row r="45" spans="1:8">
      <c r="A45" s="30" t="s">
        <v>201</v>
      </c>
      <c r="C45" s="30" t="s">
        <v>202</v>
      </c>
    </row>
    <row r="46" spans="1:8">
      <c r="A46" s="30" t="s">
        <v>203</v>
      </c>
      <c r="C46" s="30" t="s">
        <v>204</v>
      </c>
    </row>
  </sheetData>
  <sheetProtection algorithmName="SHA-512" hashValue="Vv7n2ZYr6yiNp/+vB6Ua6DkT+N5OU9K+XQtdX/YuJXlZg1U6zTWBeWKMGJ1v7z34/UE5hdqQwBB47DqAFWGUeQ==" saltValue="r9wLwqofxmPI8SgeFbh3+Q==" spinCount="100000" sheet="1" objects="1" scenarios="1"/>
  <mergeCells count="33">
    <mergeCell ref="A41:G41"/>
    <mergeCell ref="B34:D34"/>
    <mergeCell ref="B35:D35"/>
    <mergeCell ref="B37:D37"/>
    <mergeCell ref="A38:C38"/>
    <mergeCell ref="D38:G38"/>
    <mergeCell ref="C40:G40"/>
    <mergeCell ref="B36:D36"/>
    <mergeCell ref="B33:D33"/>
    <mergeCell ref="A14:C14"/>
    <mergeCell ref="D17:G17"/>
    <mergeCell ref="B20:D20"/>
    <mergeCell ref="B21:D21"/>
    <mergeCell ref="B24:D24"/>
    <mergeCell ref="B26:D26"/>
    <mergeCell ref="B32:D32"/>
    <mergeCell ref="B31:D31"/>
    <mergeCell ref="A28:A30"/>
    <mergeCell ref="A32:A33"/>
    <mergeCell ref="B28:D28"/>
    <mergeCell ref="B29:D29"/>
    <mergeCell ref="B30:D30"/>
    <mergeCell ref="A6:H6"/>
    <mergeCell ref="A7:H7"/>
    <mergeCell ref="A10:C10"/>
    <mergeCell ref="A11:C11"/>
    <mergeCell ref="A12:C12"/>
    <mergeCell ref="A13:C13"/>
    <mergeCell ref="B22:D22"/>
    <mergeCell ref="B23:D23"/>
    <mergeCell ref="B25:D25"/>
    <mergeCell ref="B27:D27"/>
    <mergeCell ref="A21:A26"/>
  </mergeCells>
  <conditionalFormatting sqref="H17">
    <cfRule type="expression" dxfId="37" priority="4">
      <formula>ISBLANK($H$17)</formula>
    </cfRule>
  </conditionalFormatting>
  <conditionalFormatting sqref="A37">
    <cfRule type="expression" dxfId="36" priority="3">
      <formula>ISBLANK($B37)</formula>
    </cfRule>
  </conditionalFormatting>
  <conditionalFormatting sqref="H37">
    <cfRule type="expression" dxfId="35" priority="2">
      <formula>AND(ISBLANK($B37),$H37=0)</formula>
    </cfRule>
  </conditionalFormatting>
  <pageMargins left="0.7" right="0.7" top="0.78740157499999996" bottom="0.78740157499999996" header="0.3" footer="0.3"/>
  <pageSetup paperSize="9" scale="9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35CE8-1F49-4E5F-A8AD-19B917574AFD}">
  <sheetPr>
    <pageSetUpPr fitToPage="1"/>
  </sheetPr>
  <dimension ref="A6:H46"/>
  <sheetViews>
    <sheetView topLeftCell="A16" zoomScale="85" zoomScaleNormal="85" workbookViewId="0">
      <selection activeCell="B30" sqref="B30:D30"/>
    </sheetView>
  </sheetViews>
  <sheetFormatPr baseColWidth="10" defaultRowHeight="14.4"/>
  <cols>
    <col min="1" max="3" width="11.5546875" style="30"/>
    <col min="4" max="4" width="8" style="30" customWidth="1"/>
    <col min="5" max="16384" width="11.5546875" style="30"/>
  </cols>
  <sheetData>
    <row r="6" spans="1:8" ht="25.8">
      <c r="A6" s="234" t="s">
        <v>189</v>
      </c>
      <c r="B6" s="234"/>
      <c r="C6" s="234"/>
      <c r="D6" s="234"/>
      <c r="E6" s="234"/>
      <c r="F6" s="234"/>
      <c r="G6" s="234"/>
      <c r="H6" s="234"/>
    </row>
    <row r="7" spans="1:8" ht="15.6">
      <c r="A7" s="235" t="s">
        <v>190</v>
      </c>
      <c r="B7" s="235"/>
      <c r="C7" s="235"/>
      <c r="D7" s="235"/>
      <c r="E7" s="235"/>
      <c r="F7" s="235"/>
      <c r="G7" s="235"/>
      <c r="H7" s="235"/>
    </row>
    <row r="10" spans="1:8">
      <c r="A10" s="236" t="s">
        <v>192</v>
      </c>
      <c r="B10" s="236"/>
      <c r="C10" s="236"/>
      <c r="D10" s="125"/>
      <c r="E10" s="125"/>
      <c r="G10" s="126" t="s">
        <v>191</v>
      </c>
      <c r="H10" s="126"/>
    </row>
    <row r="11" spans="1:8">
      <c r="A11" s="228">
        <f>Federation</f>
        <v>0</v>
      </c>
      <c r="B11" s="228"/>
      <c r="C11" s="228"/>
      <c r="G11" s="127" t="s">
        <v>176</v>
      </c>
      <c r="H11" s="127"/>
    </row>
    <row r="12" spans="1:8">
      <c r="A12" s="228" t="s">
        <v>168</v>
      </c>
      <c r="B12" s="228"/>
      <c r="C12" s="228"/>
      <c r="G12" s="127" t="s">
        <v>177</v>
      </c>
      <c r="H12" s="127"/>
    </row>
    <row r="13" spans="1:8">
      <c r="A13" s="228" t="s">
        <v>168</v>
      </c>
      <c r="B13" s="228"/>
      <c r="C13" s="228"/>
      <c r="G13" s="127" t="s">
        <v>178</v>
      </c>
      <c r="H13" s="127"/>
    </row>
    <row r="14" spans="1:8">
      <c r="A14" s="228" t="s">
        <v>168</v>
      </c>
      <c r="B14" s="228"/>
      <c r="C14" s="228"/>
      <c r="G14" s="127" t="s">
        <v>179</v>
      </c>
      <c r="H14" s="127"/>
    </row>
    <row r="17" spans="1:8" ht="21">
      <c r="A17" s="128" t="s">
        <v>205</v>
      </c>
      <c r="B17" s="129"/>
      <c r="D17" s="240" t="s">
        <v>170</v>
      </c>
      <c r="E17" s="240"/>
      <c r="F17" s="240"/>
      <c r="G17" s="240"/>
      <c r="H17" s="130">
        <f ca="1">TODAY()</f>
        <v>43682</v>
      </c>
    </row>
    <row r="18" spans="1:8" ht="15.6">
      <c r="A18" s="131" t="s">
        <v>193</v>
      </c>
    </row>
    <row r="19" spans="1:8" ht="15" thickBot="1">
      <c r="G19" s="132"/>
    </row>
    <row r="20" spans="1:8" ht="16.2" customHeight="1" thickBot="1">
      <c r="A20" s="133"/>
      <c r="B20" s="241" t="s">
        <v>165</v>
      </c>
      <c r="C20" s="242"/>
      <c r="D20" s="243"/>
      <c r="E20" s="134" t="s">
        <v>40</v>
      </c>
      <c r="F20" s="135" t="s">
        <v>49</v>
      </c>
      <c r="G20" s="135" t="s">
        <v>166</v>
      </c>
      <c r="H20" s="136" t="s">
        <v>162</v>
      </c>
    </row>
    <row r="21" spans="1:8">
      <c r="A21" s="231" t="s">
        <v>181</v>
      </c>
      <c r="B21" s="229" t="s">
        <v>60</v>
      </c>
      <c r="C21" s="229"/>
      <c r="D21" s="229"/>
      <c r="E21" s="137">
        <f>IF(ISBLANK(HotelEJO),HotelTC,HotelEJO)</f>
        <v>0</v>
      </c>
      <c r="F21" s="138" t="str">
        <f>IFERROR(VLOOKUP(E21&amp;", "&amp;B21,tblRoomPricesSunday[],4,FALSE),"No Cat!")</f>
        <v>No Cat!</v>
      </c>
      <c r="G21" s="139">
        <f>COUNTIF('Data entry form'!$Z$20:$AE$49,E21&amp;", "&amp;B21)</f>
        <v>0</v>
      </c>
      <c r="H21" s="140" t="e">
        <f>G21*F21</f>
        <v>#VALUE!</v>
      </c>
    </row>
    <row r="22" spans="1:8">
      <c r="A22" s="232"/>
      <c r="B22" s="229" t="str">
        <f>IF(OR(HotelTC=HotelEJO,ISBLANK(HotelTC),ISBLANK(HotelEJO)),"","Single")</f>
        <v/>
      </c>
      <c r="C22" s="229"/>
      <c r="D22" s="229"/>
      <c r="E22" s="137" t="str">
        <f>IF(OR(HotelTC=HotelEJO,ISBLANK(HotelTC),ISBLANK(HotelEJO)),"",HotelTC)</f>
        <v/>
      </c>
      <c r="F22" s="138" t="str">
        <f>IF(OR(HotelTC=HotelEJO,ISBLANK(HotelTC),ISBLANK(HotelEJO)),"",'Data entry form'!$AC$14)</f>
        <v/>
      </c>
      <c r="G22" s="139" t="str">
        <f>IF(OR(HotelTC=HotelEJO,ISBLANK(HotelTC),ISBLANK(HotelEJO)),"",COUNTIF('Data entry form'!$Z$20:$AE$49,E22&amp;", "&amp;B22))</f>
        <v/>
      </c>
      <c r="H22" s="141" t="str">
        <f>IF(OR(HotelTC=HotelEJO,ISBLANK(HotelTC),ISBLANK(HotelEJO)),"",G22*F22)</f>
        <v/>
      </c>
    </row>
    <row r="23" spans="1:8">
      <c r="A23" s="232"/>
      <c r="B23" s="230" t="s">
        <v>63</v>
      </c>
      <c r="C23" s="230"/>
      <c r="D23" s="230"/>
      <c r="E23" s="137">
        <f>IF(ISBLANK(HotelEJO),HotelTC,HotelEJO)</f>
        <v>0</v>
      </c>
      <c r="F23" s="138" t="str">
        <f>IFERROR(VLOOKUP(E23&amp;", "&amp;B23,tblRoomPricesSunday[],4,FALSE),"No Cat!")</f>
        <v>No Cat!</v>
      </c>
      <c r="G23" s="139">
        <f>COUNTIF('Data entry form'!$Z$20:$AE$49,E23&amp;", "&amp;B23)</f>
        <v>0</v>
      </c>
      <c r="H23" s="141" t="e">
        <f t="shared" ref="H23:H36" si="0">G23*F23</f>
        <v>#VALUE!</v>
      </c>
    </row>
    <row r="24" spans="1:8">
      <c r="A24" s="232"/>
      <c r="B24" s="230" t="str">
        <f>IF(OR(HotelTC=HotelEJO,ISBLANK(HotelTC),ISBLANK(HotelEJO)),"","Double")</f>
        <v/>
      </c>
      <c r="C24" s="230"/>
      <c r="D24" s="230"/>
      <c r="E24" s="137" t="str">
        <f>IF(OR(HotelTC=HotelEJO,ISBLANK(HotelTC),ISBLANK(HotelEJO)),"",HotelTC)</f>
        <v/>
      </c>
      <c r="F24" s="138" t="str">
        <f>IF(OR(HotelTC=HotelEJO,ISBLANK(HotelTC),ISBLANK(HotelEJO)),"",'Data entry form'!$AD$14)</f>
        <v/>
      </c>
      <c r="G24" s="139" t="str">
        <f>IF(OR(HotelTC=HotelEJO,ISBLANK(HotelTC),ISBLANK(HotelEJO)),"",COUNTIF('Data entry form'!$Z$20:$AE$49,E24&amp;", "&amp;B24))</f>
        <v/>
      </c>
      <c r="H24" s="141" t="str">
        <f>IF(OR(HotelTC=HotelEJO,ISBLANK(HotelTC),ISBLANK(HotelEJO)),"",G24*F24)</f>
        <v/>
      </c>
    </row>
    <row r="25" spans="1:8">
      <c r="A25" s="232"/>
      <c r="B25" s="230" t="str">
        <f>IF(OR(HotelEJO="Ibis",HotelTC="Ibis"),"Triple","")</f>
        <v/>
      </c>
      <c r="C25" s="230"/>
      <c r="D25" s="230"/>
      <c r="E25" s="137" t="str">
        <f>IF(OR(HotelEJO="Ibis",HotelTC="Ibis"),"Ibis","")</f>
        <v/>
      </c>
      <c r="F25" s="138" t="str">
        <f>IF(OR(HotelEJO="Ibis",HotelTC="Ibis"),IFERROR(VLOOKUP(E25&amp;", "&amp;B25,tblRoomPricesSunday[],4,FALSE),"No Cat!"),"")</f>
        <v/>
      </c>
      <c r="G25" s="139" t="str">
        <f>IF(OR(HotelEJO="Ibis",HotelTC="Ibis"),COUNTIF('Data entry form'!$Z$20:$AE$49,E25&amp;", "&amp;B25),"")</f>
        <v/>
      </c>
      <c r="H25" s="141" t="str">
        <f>IF(OR(HotelEJO="Ibis",HotelTC="Ibis"),G25*F25,"")</f>
        <v/>
      </c>
    </row>
    <row r="26" spans="1:8">
      <c r="A26" s="233"/>
      <c r="B26" s="230" t="str">
        <f>IF(HotelTC="Hostel","Shared","")</f>
        <v/>
      </c>
      <c r="C26" s="230"/>
      <c r="D26" s="230"/>
      <c r="E26" s="137" t="str">
        <f>IF(HotelTC="Hostel","Hostel","")</f>
        <v/>
      </c>
      <c r="F26" s="142" t="str">
        <f>IF(HotelTC="Hostel",65,"")</f>
        <v/>
      </c>
      <c r="G26" s="139" t="str">
        <f>IF(HotelTC="Hostel",COUNTIF('Data entry form'!$Z$20:$AE$49,E26&amp;", "&amp;B26),"")</f>
        <v/>
      </c>
      <c r="H26" s="141" t="str">
        <f>IF(HotelTC="Hostel",G26*F26,"")</f>
        <v/>
      </c>
    </row>
    <row r="27" spans="1:8">
      <c r="A27" s="143"/>
      <c r="B27" s="230"/>
      <c r="C27" s="230"/>
      <c r="D27" s="230"/>
      <c r="E27" s="137"/>
      <c r="F27" s="144"/>
      <c r="G27" s="145"/>
      <c r="H27" s="141"/>
    </row>
    <row r="28" spans="1:8">
      <c r="A28" s="244" t="s">
        <v>105</v>
      </c>
      <c r="B28" s="230" t="str">
        <f>IF(ISBLANK(HotelEJO),"","Lunch EJO")</f>
        <v/>
      </c>
      <c r="C28" s="230"/>
      <c r="D28" s="230"/>
      <c r="E28" s="137" t="str">
        <f>IF(ISBLANK(HotelEJO),"","Sports Hall")</f>
        <v/>
      </c>
      <c r="F28" s="144" t="str">
        <f>IF(ISBLANK(HotelEJO),"",15)</f>
        <v/>
      </c>
      <c r="G28" s="145" t="str">
        <f>IF(ISBLANK(HotelEJO),"",COUNTIF('Data entry form'!$BK$20:$BN$49,"+lunch")+COUNTIF('Data entry form'!$BK$20:$BN$49,"full board"))</f>
        <v/>
      </c>
      <c r="H28" s="141" t="str">
        <f>IF(ISBLANK(HotelEJO),"",G28*F28)</f>
        <v/>
      </c>
    </row>
    <row r="29" spans="1:8">
      <c r="A29" s="232"/>
      <c r="B29" s="230" t="str">
        <f>IF(ISBLANK(HotelEJO),"","Dinner EJO")</f>
        <v/>
      </c>
      <c r="C29" s="230"/>
      <c r="D29" s="230"/>
      <c r="E29" s="137" t="str">
        <f>IF(ISBLANK(HotelEJO),"",HotelEJO)</f>
        <v/>
      </c>
      <c r="F29" s="144" t="str">
        <f>IF(ISBLANK(HotelEJO),"",'Data entry form'!$AG$14)</f>
        <v/>
      </c>
      <c r="G29" s="145" t="str">
        <f>IF(ISBLANK(HotelEJO),"",COUNTIF('Data entry form'!$BK$20:$BN$49,"+dinner")+COUNTIF('Data entry form'!$BK$20:$BN$49,"full board"))</f>
        <v/>
      </c>
      <c r="H29" s="141" t="str">
        <f>IF(ISBLANK(HotelEJO),"",G29*F29)</f>
        <v/>
      </c>
    </row>
    <row r="30" spans="1:8">
      <c r="A30" s="233"/>
      <c r="B30" s="237" t="str">
        <f>IF(ISBLANK(HotelTC),"","Fullboard TC")</f>
        <v/>
      </c>
      <c r="C30" s="238"/>
      <c r="D30" s="239"/>
      <c r="E30" s="137" t="str">
        <f>IF(ISBLANK(HotelTC),"",HotelTC)</f>
        <v/>
      </c>
      <c r="F30" s="144" t="str">
        <f>IF(ISBLANK(HotelTC),"",'Data entry form'!$AI$14)</f>
        <v/>
      </c>
      <c r="G30" s="145" t="str">
        <f>IF(ISBLANK(HotelTC),"",COUNTIF('Data entry form'!$BO$20:$BQ$49,"full board"))</f>
        <v/>
      </c>
      <c r="H30" s="141" t="str">
        <f>IF(ISBLANK(HotelTC),"",G30*F30)</f>
        <v/>
      </c>
    </row>
    <row r="31" spans="1:8">
      <c r="A31" s="146"/>
      <c r="B31" s="237"/>
      <c r="C31" s="238"/>
      <c r="D31" s="239"/>
      <c r="E31" s="147"/>
      <c r="F31" s="144"/>
      <c r="G31" s="145"/>
      <c r="H31" s="141"/>
    </row>
    <row r="32" spans="1:8">
      <c r="A32" s="244" t="s">
        <v>171</v>
      </c>
      <c r="B32" s="237" t="str">
        <f>IF(ISBLANK(HotelEJO),"","EJU Fee EJO")</f>
        <v/>
      </c>
      <c r="C32" s="238"/>
      <c r="D32" s="239"/>
      <c r="E32" s="148"/>
      <c r="F32" s="144" t="str">
        <f>IF(ISBLANK(HotelEJO),"",20)</f>
        <v/>
      </c>
      <c r="G32" s="145" t="str">
        <f>IF(ISBLANK(HotelEJO),"",COUNTIF('Data entry form'!$AM$20:$AM$49,20))</f>
        <v/>
      </c>
      <c r="H32" s="141" t="str">
        <f>IF(ISBLANK(HotelEJO),"",G32*F32)</f>
        <v/>
      </c>
    </row>
    <row r="33" spans="1:8">
      <c r="A33" s="233"/>
      <c r="B33" s="237" t="str">
        <f>IF(ISBLANK(HotelTC),"","EJU Fee TC")</f>
        <v/>
      </c>
      <c r="C33" s="238"/>
      <c r="D33" s="239"/>
      <c r="E33" s="148" t="str">
        <f>IF(ISBLANK(HotelTC),"",IF(ContFede=Parameters!EJU,"EJU","non-EJU"))</f>
        <v/>
      </c>
      <c r="F33" s="144" t="str">
        <f>IF(ISBLANK(HotelTC),"",IF(ContFede=Parameters!EJU,30,100))</f>
        <v/>
      </c>
      <c r="G33" s="145" t="str">
        <f>IF(ISBLANK(HotelTC),"",COUNTIF('Data entry form'!$AN$20:$AN$50,1))</f>
        <v/>
      </c>
      <c r="H33" s="141" t="str">
        <f>IF(ISBLANK(HotelTC),"",G33*F33)</f>
        <v/>
      </c>
    </row>
    <row r="34" spans="1:8">
      <c r="A34" s="146"/>
      <c r="B34" s="230"/>
      <c r="C34" s="230"/>
      <c r="D34" s="230"/>
      <c r="E34" s="148"/>
      <c r="F34" s="144"/>
      <c r="G34" s="145"/>
      <c r="H34" s="141"/>
    </row>
    <row r="35" spans="1:8">
      <c r="A35" s="146"/>
      <c r="B35" s="230" t="s">
        <v>187</v>
      </c>
      <c r="C35" s="230"/>
      <c r="D35" s="230"/>
      <c r="E35" s="148"/>
      <c r="F35" s="144">
        <v>100</v>
      </c>
      <c r="G35" s="145">
        <f>COUNTIF('Data entry form'!AP20:AP49,100)</f>
        <v>0</v>
      </c>
      <c r="H35" s="141">
        <f t="shared" si="0"/>
        <v>0</v>
      </c>
    </row>
    <row r="36" spans="1:8">
      <c r="A36" s="149"/>
      <c r="B36" s="230" t="s">
        <v>188</v>
      </c>
      <c r="C36" s="230"/>
      <c r="D36" s="230"/>
      <c r="E36" s="150"/>
      <c r="F36" s="144">
        <v>100</v>
      </c>
      <c r="G36" s="151">
        <f>COUNTIF('Data entry form'!AQ20:AQ49,100)</f>
        <v>0</v>
      </c>
      <c r="H36" s="141">
        <f t="shared" si="0"/>
        <v>0</v>
      </c>
    </row>
    <row r="37" spans="1:8" ht="15" thickBot="1">
      <c r="A37" s="152">
        <f>A35+1</f>
        <v>1</v>
      </c>
      <c r="B37" s="247"/>
      <c r="C37" s="247"/>
      <c r="D37" s="247"/>
      <c r="E37" s="153"/>
      <c r="F37" s="154"/>
      <c r="G37" s="155"/>
      <c r="H37" s="156">
        <f t="shared" ref="H37" si="1">F37*G37</f>
        <v>0</v>
      </c>
    </row>
    <row r="38" spans="1:8" ht="16.2" thickBot="1">
      <c r="A38" s="248" t="s">
        <v>164</v>
      </c>
      <c r="B38" s="248"/>
      <c r="C38" s="248"/>
      <c r="D38" s="249" t="s">
        <v>167</v>
      </c>
      <c r="E38" s="249"/>
      <c r="F38" s="249"/>
      <c r="G38" s="249"/>
      <c r="H38" s="157" t="e">
        <f>SUM(H21:H37)</f>
        <v>#VALUE!</v>
      </c>
    </row>
    <row r="39" spans="1:8" ht="15" thickTop="1"/>
    <row r="40" spans="1:8" ht="15.6">
      <c r="C40" s="250" t="e">
        <f>IF($H$38='Data entry form'!$AL$19,"","Please check one more time if your data is correct!")</f>
        <v>#VALUE!</v>
      </c>
      <c r="D40" s="250"/>
      <c r="E40" s="250"/>
      <c r="F40" s="250"/>
      <c r="G40" s="250"/>
      <c r="H40" s="158"/>
    </row>
    <row r="41" spans="1:8" ht="15.6">
      <c r="A41" s="245" t="s">
        <v>180</v>
      </c>
      <c r="B41" s="246"/>
      <c r="C41" s="246"/>
      <c r="D41" s="246"/>
      <c r="E41" s="246"/>
      <c r="F41" s="246"/>
      <c r="G41" s="246"/>
      <c r="H41" s="159"/>
    </row>
    <row r="42" spans="1:8">
      <c r="A42" s="30" t="s">
        <v>195</v>
      </c>
      <c r="C42" s="30" t="s">
        <v>196</v>
      </c>
    </row>
    <row r="43" spans="1:8">
      <c r="A43" s="30" t="s">
        <v>197</v>
      </c>
      <c r="C43" s="30" t="s">
        <v>198</v>
      </c>
    </row>
    <row r="44" spans="1:8">
      <c r="A44" s="30" t="s">
        <v>199</v>
      </c>
      <c r="C44" s="30" t="s">
        <v>200</v>
      </c>
    </row>
    <row r="45" spans="1:8">
      <c r="A45" s="30" t="s">
        <v>201</v>
      </c>
      <c r="C45" s="30" t="s">
        <v>202</v>
      </c>
    </row>
    <row r="46" spans="1:8">
      <c r="A46" s="30" t="s">
        <v>203</v>
      </c>
      <c r="C46" s="30" t="s">
        <v>204</v>
      </c>
    </row>
  </sheetData>
  <mergeCells count="33">
    <mergeCell ref="B37:D37"/>
    <mergeCell ref="A38:C38"/>
    <mergeCell ref="D38:G38"/>
    <mergeCell ref="C40:G40"/>
    <mergeCell ref="A41:G41"/>
    <mergeCell ref="B36:D36"/>
    <mergeCell ref="B27:D27"/>
    <mergeCell ref="A28:A30"/>
    <mergeCell ref="B28:D28"/>
    <mergeCell ref="B29:D29"/>
    <mergeCell ref="B30:D30"/>
    <mergeCell ref="B31:D31"/>
    <mergeCell ref="A32:A33"/>
    <mergeCell ref="B32:D32"/>
    <mergeCell ref="B33:D33"/>
    <mergeCell ref="B34:D34"/>
    <mergeCell ref="B35:D35"/>
    <mergeCell ref="A14:C14"/>
    <mergeCell ref="D17:G17"/>
    <mergeCell ref="B20:D20"/>
    <mergeCell ref="A21:A26"/>
    <mergeCell ref="B21:D21"/>
    <mergeCell ref="B22:D22"/>
    <mergeCell ref="B23:D23"/>
    <mergeCell ref="B24:D24"/>
    <mergeCell ref="B25:D25"/>
    <mergeCell ref="B26:D26"/>
    <mergeCell ref="A13:C13"/>
    <mergeCell ref="A6:H6"/>
    <mergeCell ref="A7:H7"/>
    <mergeCell ref="A10:C10"/>
    <mergeCell ref="A11:C11"/>
    <mergeCell ref="A12:C12"/>
  </mergeCells>
  <conditionalFormatting sqref="H17">
    <cfRule type="expression" dxfId="34" priority="3">
      <formula>ISBLANK($H$17)</formula>
    </cfRule>
  </conditionalFormatting>
  <conditionalFormatting sqref="A37">
    <cfRule type="expression" dxfId="33" priority="2">
      <formula>ISBLANK($B37)</formula>
    </cfRule>
  </conditionalFormatting>
  <conditionalFormatting sqref="H37">
    <cfRule type="expression" dxfId="32" priority="1">
      <formula>AND(ISBLANK($B37),$H37=0)</formula>
    </cfRule>
  </conditionalFormatting>
  <pageMargins left="0.7" right="0.7" top="0.78740157499999996" bottom="0.78740157499999996" header="0.3" footer="0.3"/>
  <pageSetup paperSize="9" scale="9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C288A-0F57-42C6-8574-9580CC3DB973}">
  <sheetPr>
    <tabColor theme="2" tint="-0.249977111117893"/>
  </sheetPr>
  <dimension ref="A1:BG55"/>
  <sheetViews>
    <sheetView zoomScale="55" zoomScaleNormal="55" workbookViewId="0">
      <selection activeCell="M24" sqref="M24"/>
    </sheetView>
  </sheetViews>
  <sheetFormatPr baseColWidth="10" defaultRowHeight="15.6"/>
  <cols>
    <col min="1" max="1" width="44.77734375" style="12" bestFit="1" customWidth="1"/>
    <col min="2" max="2" width="11" style="12" bestFit="1" customWidth="1"/>
    <col min="3" max="3" width="20.44140625" style="12" bestFit="1" customWidth="1"/>
    <col min="4" max="4" width="17.77734375" style="12" bestFit="1" customWidth="1"/>
    <col min="5" max="6" width="16.5546875" style="12" bestFit="1" customWidth="1"/>
    <col min="7" max="7" width="11.109375" style="12" customWidth="1"/>
    <col min="8" max="8" width="5.5546875" style="12" customWidth="1"/>
    <col min="9" max="9" width="12.88671875" style="12" customWidth="1"/>
    <col min="10" max="10" width="5.5546875" style="12" customWidth="1"/>
    <col min="11" max="11" width="16.77734375" style="12" customWidth="1"/>
    <col min="12" max="12" width="5.5546875" style="12" customWidth="1"/>
    <col min="13" max="13" width="15.5546875" style="12" customWidth="1"/>
    <col min="14" max="14" width="5.5546875" style="12" customWidth="1"/>
    <col min="15" max="15" width="18.88671875" style="12" customWidth="1"/>
    <col min="16" max="16" width="5.5546875" style="12" customWidth="1"/>
    <col min="17" max="17" width="24.33203125" style="12" bestFit="1" customWidth="1"/>
    <col min="18" max="18" width="5.5546875" style="12" customWidth="1"/>
    <col min="19" max="19" width="24.77734375" style="12" bestFit="1" customWidth="1"/>
    <col min="20" max="20" width="5.5546875" style="12" customWidth="1"/>
    <col min="21" max="21" width="20.5546875" style="12" customWidth="1"/>
    <col min="22" max="22" width="5.5546875" style="12" customWidth="1"/>
    <col min="23" max="23" width="25.109375" style="12" bestFit="1" customWidth="1"/>
    <col min="24" max="24" width="16.21875" style="12" bestFit="1" customWidth="1"/>
    <col min="25" max="25" width="7.77734375" style="12" bestFit="1" customWidth="1"/>
    <col min="26" max="26" width="8.77734375" style="12" bestFit="1" customWidth="1"/>
    <col min="27" max="27" width="5.5546875" style="12" customWidth="1"/>
    <col min="28" max="28" width="25.109375" style="12" bestFit="1" customWidth="1"/>
    <col min="29" max="29" width="9.44140625" style="12" bestFit="1" customWidth="1"/>
    <col min="30" max="30" width="15.44140625" style="12" customWidth="1"/>
    <col min="31" max="31" width="8.77734375" style="12" bestFit="1" customWidth="1"/>
    <col min="32" max="32" width="5.5546875" style="12" customWidth="1"/>
    <col min="33" max="33" width="19.33203125" style="12" bestFit="1" customWidth="1"/>
    <col min="34" max="35" width="12.21875" style="12" customWidth="1"/>
    <col min="36" max="36" width="5.5546875" style="12" customWidth="1"/>
    <col min="37" max="37" width="26.33203125" style="12" bestFit="1" customWidth="1"/>
    <col min="38" max="39" width="11.5546875" style="12"/>
    <col min="40" max="40" width="9.33203125" style="12" bestFit="1" customWidth="1"/>
    <col min="41" max="41" width="11.5546875" style="12"/>
    <col min="42" max="42" width="5.5546875" style="12" customWidth="1"/>
    <col min="43" max="43" width="36.109375" style="12" bestFit="1" customWidth="1"/>
    <col min="44" max="44" width="5.5546875" style="12" customWidth="1"/>
    <col min="45" max="45" width="19.6640625" style="12" bestFit="1" customWidth="1"/>
    <col min="46" max="46" width="9.6640625" style="12" bestFit="1" customWidth="1"/>
    <col min="47" max="47" width="13.44140625" style="12" bestFit="1" customWidth="1"/>
    <col min="48" max="48" width="96.5546875" style="12" customWidth="1"/>
    <col min="49" max="54" width="11.5546875" style="12"/>
    <col min="55" max="55" width="21.77734375" style="12" bestFit="1" customWidth="1"/>
    <col min="56" max="16384" width="11.5546875" style="12"/>
  </cols>
  <sheetData>
    <row r="1" spans="1:59">
      <c r="A1" s="251" t="s">
        <v>35</v>
      </c>
      <c r="B1" s="251"/>
      <c r="C1" s="251"/>
      <c r="D1" s="251"/>
      <c r="E1" s="251"/>
      <c r="F1" s="251"/>
      <c r="G1" s="251"/>
      <c r="H1" s="28"/>
      <c r="I1" s="28"/>
      <c r="W1" s="251" t="s">
        <v>102</v>
      </c>
      <c r="X1" s="251"/>
      <c r="Y1" s="251"/>
      <c r="Z1" s="251"/>
      <c r="AB1" s="251" t="s">
        <v>136</v>
      </c>
      <c r="AC1" s="251"/>
      <c r="AD1" s="251"/>
      <c r="AE1" s="251"/>
      <c r="AG1" s="251" t="s">
        <v>97</v>
      </c>
      <c r="AH1" s="251"/>
      <c r="AI1" s="251"/>
      <c r="AK1" s="251" t="s">
        <v>36</v>
      </c>
      <c r="AL1" s="251"/>
      <c r="AM1" s="251"/>
      <c r="AN1" s="251"/>
      <c r="AO1" s="251"/>
      <c r="AP1" s="28"/>
      <c r="AQ1" s="28"/>
      <c r="AV1" s="13" t="s">
        <v>37</v>
      </c>
      <c r="AW1" s="252" t="s">
        <v>38</v>
      </c>
      <c r="AX1" s="252"/>
      <c r="AY1" s="252"/>
      <c r="AZ1" s="252"/>
      <c r="BB1" s="12" t="s">
        <v>39</v>
      </c>
    </row>
    <row r="2" spans="1:59" ht="25.8">
      <c r="A2" s="13" t="s">
        <v>40</v>
      </c>
      <c r="B2" s="13" t="s">
        <v>30</v>
      </c>
      <c r="C2" s="13" t="s">
        <v>26</v>
      </c>
      <c r="D2" s="13" t="s">
        <v>27</v>
      </c>
      <c r="E2" s="13" t="s">
        <v>31</v>
      </c>
      <c r="F2" s="13" t="s">
        <v>29</v>
      </c>
      <c r="G2" s="13" t="s">
        <v>28</v>
      </c>
      <c r="H2" s="13"/>
      <c r="I2" s="13" t="s">
        <v>30</v>
      </c>
      <c r="K2" s="12" t="s">
        <v>41</v>
      </c>
      <c r="M2" s="12" t="s">
        <v>42</v>
      </c>
      <c r="O2" s="12" t="s">
        <v>43</v>
      </c>
      <c r="Q2" s="12" t="s">
        <v>44</v>
      </c>
      <c r="S2" s="12" t="s">
        <v>45</v>
      </c>
      <c r="U2" s="12" t="s">
        <v>46</v>
      </c>
      <c r="W2" s="12" t="s">
        <v>47</v>
      </c>
      <c r="X2" s="12" t="s">
        <v>94</v>
      </c>
      <c r="Y2" s="12" t="s">
        <v>48</v>
      </c>
      <c r="Z2" s="12" t="s">
        <v>49</v>
      </c>
      <c r="AB2" s="12" t="s">
        <v>47</v>
      </c>
      <c r="AC2" s="12" t="s">
        <v>94</v>
      </c>
      <c r="AD2" s="12" t="s">
        <v>98</v>
      </c>
      <c r="AE2" s="12" t="s">
        <v>49</v>
      </c>
      <c r="AG2" s="12" t="s">
        <v>47</v>
      </c>
      <c r="AH2" s="12" t="s">
        <v>50</v>
      </c>
      <c r="AI2" s="12" t="s">
        <v>51</v>
      </c>
      <c r="AK2" s="12" t="s">
        <v>47</v>
      </c>
      <c r="AL2" s="12" t="s">
        <v>94</v>
      </c>
      <c r="AM2" s="12" t="s">
        <v>48</v>
      </c>
      <c r="AN2" s="12" t="s">
        <v>50</v>
      </c>
      <c r="AO2" s="12" t="s">
        <v>49</v>
      </c>
      <c r="AQ2" s="12" t="s">
        <v>169</v>
      </c>
      <c r="AS2" s="13" t="s">
        <v>52</v>
      </c>
      <c r="AT2" s="13" t="s">
        <v>53</v>
      </c>
      <c r="AU2" s="13" t="s">
        <v>54</v>
      </c>
      <c r="AV2" s="29"/>
      <c r="AW2" s="253"/>
      <c r="AX2" s="253"/>
      <c r="AY2" s="253"/>
      <c r="AZ2" s="253"/>
      <c r="BA2" s="14"/>
      <c r="BB2" s="12" t="s">
        <v>55</v>
      </c>
      <c r="BC2" s="12" t="s">
        <v>56</v>
      </c>
      <c r="BF2" s="14"/>
      <c r="BG2" s="14"/>
    </row>
    <row r="3" spans="1:59" ht="15.9" customHeight="1">
      <c r="A3" s="12" t="str">
        <f>tblWeightOrFunction[[#This Row],[SubType1]]&amp;", "&amp;tblWeightOrFunction[[#This Row],[Gender]]</f>
        <v>Training Partner, MALE</v>
      </c>
      <c r="B3" s="12" t="s">
        <v>57</v>
      </c>
      <c r="D3" s="19" t="s">
        <v>185</v>
      </c>
      <c r="E3" s="12" t="s">
        <v>184</v>
      </c>
      <c r="F3" s="12" t="s">
        <v>75</v>
      </c>
      <c r="G3" s="12">
        <v>1</v>
      </c>
      <c r="I3" s="12" t="s">
        <v>59</v>
      </c>
      <c r="K3" s="12" t="s">
        <v>32</v>
      </c>
      <c r="M3" s="16">
        <v>43734</v>
      </c>
      <c r="O3" s="16">
        <v>43736</v>
      </c>
      <c r="Q3" s="12" t="s">
        <v>101</v>
      </c>
      <c r="S3" s="12" t="s">
        <v>32</v>
      </c>
      <c r="U3" s="12" t="s">
        <v>33</v>
      </c>
      <c r="W3" s="12" t="str">
        <f>tblRoomPricesEJO[[#This Row],[Hotel]]&amp;", "&amp;tblRoomPricesEJO[[#This Row],[Size]]</f>
        <v>Hilton, Single</v>
      </c>
      <c r="X3" s="12" t="str">
        <f>$U$11</f>
        <v>Hilton</v>
      </c>
      <c r="Y3" s="12" t="s">
        <v>60</v>
      </c>
      <c r="Z3" s="17">
        <v>165</v>
      </c>
      <c r="AB3" s="12" t="str">
        <f>tblMealPricesEJO[[#This Row],[Hotel]]&amp;", "&amp;tblMealPricesEJO[[#This Row],[Meal]]</f>
        <v>Hilton, +lunch</v>
      </c>
      <c r="AC3" s="12" t="str">
        <f>$U$11</f>
        <v>Hilton</v>
      </c>
      <c r="AD3" s="12" t="str">
        <f>"+lunch"</f>
        <v>+lunch</v>
      </c>
      <c r="AE3" s="17">
        <v>15</v>
      </c>
      <c r="AG3" s="12" t="str">
        <f>tblRoomAndLodgings[[#This Row],[Room]]&amp;" / "&amp;tblRoomAndLodgings[[#This Row],[Lodging]]</f>
        <v>Single / BB</v>
      </c>
      <c r="AH3" s="12" t="s">
        <v>61</v>
      </c>
      <c r="AI3" s="12" t="str">
        <f>$Y$3</f>
        <v>Single</v>
      </c>
      <c r="AK3" s="12" t="str">
        <f>tblAccommodationCosts[[#This Row],[Hotel]]&amp;", "&amp;tblAccommodationCosts[[#This Row],[Size]]&amp;" / "&amp;tblAccommodationCosts[[#This Row],[Lodging]]</f>
        <v>Hilton, Single / only breakfast</v>
      </c>
      <c r="AL3" s="12" t="str">
        <f>$U$11</f>
        <v>Hilton</v>
      </c>
      <c r="AM3" s="12" t="str">
        <f>$Y$3</f>
        <v>Single</v>
      </c>
      <c r="AN3" s="20" t="str">
        <f>"only breakfast"</f>
        <v>only breakfast</v>
      </c>
      <c r="AO3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165</v>
      </c>
      <c r="AP3" s="17"/>
      <c r="AQ3" s="12" t="s">
        <v>62</v>
      </c>
      <c r="AS3" s="17">
        <v>100</v>
      </c>
      <c r="AT3" s="17">
        <v>30</v>
      </c>
      <c r="AU3" s="17">
        <v>100</v>
      </c>
      <c r="AV3" s="254"/>
      <c r="AW3" s="18"/>
      <c r="AX3" s="18"/>
      <c r="AY3" s="18"/>
      <c r="AZ3" s="18"/>
      <c r="BA3" s="18"/>
      <c r="BF3" s="18"/>
      <c r="BG3" s="18"/>
    </row>
    <row r="4" spans="1:59">
      <c r="A4" s="12" t="str">
        <f>tblWeightOrFunction[[#This Row],[SubType1]]&amp;", "&amp;tblWeightOrFunction[[#This Row],[Gender]]</f>
        <v>Training Partner, FEMALE</v>
      </c>
      <c r="B4" s="12" t="s">
        <v>59</v>
      </c>
      <c r="D4" s="19" t="s">
        <v>185</v>
      </c>
      <c r="E4" s="12" t="s">
        <v>184</v>
      </c>
      <c r="F4" s="12" t="s">
        <v>75</v>
      </c>
      <c r="G4" s="12">
        <v>2</v>
      </c>
      <c r="I4" s="12" t="s">
        <v>57</v>
      </c>
      <c r="K4" s="12" t="s">
        <v>34</v>
      </c>
      <c r="M4" s="16">
        <v>43735</v>
      </c>
      <c r="O4" s="16">
        <v>43737</v>
      </c>
      <c r="S4" s="12" t="s">
        <v>34</v>
      </c>
      <c r="U4" s="12" t="s">
        <v>66</v>
      </c>
      <c r="W4" s="12" t="str">
        <f>tblRoomPricesEJO[[#This Row],[Hotel]]&amp;", "&amp;tblRoomPricesEJO[[#This Row],[Size]]</f>
        <v>Hilton, Double</v>
      </c>
      <c r="X4" s="12" t="str">
        <f>X3</f>
        <v>Hilton</v>
      </c>
      <c r="Y4" s="12" t="s">
        <v>63</v>
      </c>
      <c r="Z4" s="17">
        <v>115</v>
      </c>
      <c r="AB4" s="12" t="str">
        <f>tblMealPricesEJO[[#This Row],[Hotel]]&amp;", "&amp;tblMealPricesEJO[[#This Row],[Meal]]</f>
        <v>Hilton, +dinner</v>
      </c>
      <c r="AC4" s="12" t="str">
        <f>AC3</f>
        <v>Hilton</v>
      </c>
      <c r="AD4" s="12" t="str">
        <f>"+dinner"</f>
        <v>+dinner</v>
      </c>
      <c r="AE4" s="17">
        <v>25</v>
      </c>
      <c r="AG4" s="12" t="str">
        <f>tblRoomAndLodgings[[#This Row],[Room]]&amp;" / "&amp;tblRoomAndLodgings[[#This Row],[Lodging]]</f>
        <v>Single / only Lunch</v>
      </c>
      <c r="AH4" s="12" t="s">
        <v>95</v>
      </c>
      <c r="AI4" s="12" t="str">
        <f>$Y$3</f>
        <v>Single</v>
      </c>
      <c r="AK4" s="12" t="str">
        <f>tblAccommodationCosts[[#This Row],[Hotel]]&amp;", "&amp;tblAccommodationCosts[[#This Row],[Size]]&amp;" / "&amp;tblAccommodationCosts[[#This Row],[Lodging]]</f>
        <v>Hilton, Single / +lunch</v>
      </c>
      <c r="AL4" s="12" t="str">
        <f>AL3</f>
        <v>Hilton</v>
      </c>
      <c r="AM4" s="12" t="str">
        <f t="shared" ref="AM4:AM6" si="0">$Y$3</f>
        <v>Single</v>
      </c>
      <c r="AN4" s="12" t="str">
        <f>"+lunch"</f>
        <v>+lunch</v>
      </c>
      <c r="AO4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180</v>
      </c>
      <c r="AP4" s="17"/>
      <c r="AQ4" s="17" t="s">
        <v>64</v>
      </c>
      <c r="AV4" s="255"/>
    </row>
    <row r="5" spans="1:59">
      <c r="A5" s="12" t="str">
        <f>tblWeightOrFunction[[#This Row],[SubType1]]&amp;", "&amp;tblWeightOrFunction[[#This Row],[Gender]]</f>
        <v>-60kg, MALE</v>
      </c>
      <c r="B5" s="12" t="s">
        <v>57</v>
      </c>
      <c r="D5" s="19" t="s">
        <v>76</v>
      </c>
      <c r="E5" s="12">
        <v>60</v>
      </c>
      <c r="F5" s="12" t="s">
        <v>75</v>
      </c>
      <c r="G5" s="12">
        <v>1</v>
      </c>
      <c r="M5" s="16">
        <v>43736</v>
      </c>
      <c r="O5" s="16">
        <v>43738</v>
      </c>
      <c r="W5" s="12" t="str">
        <f>tblRoomPricesEJO[[#This Row],[Hotel]]&amp;", "&amp;tblRoomPricesEJO[[#This Row],[Size]]</f>
        <v>Alvisse, Single</v>
      </c>
      <c r="X5" s="12" t="str">
        <f>$U$12</f>
        <v>Alvisse</v>
      </c>
      <c r="Y5" s="12" t="str">
        <f>Y3</f>
        <v>Single</v>
      </c>
      <c r="Z5" s="17">
        <v>140</v>
      </c>
      <c r="AB5" s="12" t="str">
        <f>tblMealPricesEJO[[#This Row],[Hotel]]&amp;", "&amp;tblMealPricesEJO[[#This Row],[Meal]]</f>
        <v>Hilton, full board</v>
      </c>
      <c r="AC5" s="12" t="str">
        <f>AC4</f>
        <v>Hilton</v>
      </c>
      <c r="AD5" s="20" t="str">
        <f>"full board"</f>
        <v>full board</v>
      </c>
      <c r="AE5" s="17">
        <f>AE4+AE3</f>
        <v>40</v>
      </c>
      <c r="AG5" s="12" t="str">
        <f>tblRoomAndLodgings[[#This Row],[Room]]&amp;" / "&amp;tblRoomAndLodgings[[#This Row],[Lodging]]</f>
        <v>Single / only Dinner</v>
      </c>
      <c r="AH5" s="12" t="s">
        <v>96</v>
      </c>
      <c r="AI5" s="12" t="str">
        <f>$Y$3</f>
        <v>Single</v>
      </c>
      <c r="AK5" s="12" t="str">
        <f>tblAccommodationCosts[[#This Row],[Hotel]]&amp;", "&amp;tblAccommodationCosts[[#This Row],[Size]]&amp;" / "&amp;tblAccommodationCosts[[#This Row],[Lodging]]</f>
        <v>Hilton, Single / +dinner</v>
      </c>
      <c r="AL5" s="12" t="str">
        <f t="shared" ref="AL5:AL10" si="1">AL4</f>
        <v>Hilton</v>
      </c>
      <c r="AM5" s="12" t="str">
        <f t="shared" si="0"/>
        <v>Single</v>
      </c>
      <c r="AN5" s="12" t="str">
        <f>"+dinner"</f>
        <v>+dinner</v>
      </c>
      <c r="AO5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190</v>
      </c>
      <c r="AP5" s="17"/>
      <c r="AQ5" s="17" t="s">
        <v>0</v>
      </c>
      <c r="AS5" s="13" t="s">
        <v>68</v>
      </c>
    </row>
    <row r="6" spans="1:59">
      <c r="A6" s="12" t="str">
        <f>tblWeightOrFunction[[#This Row],[SubType1]]&amp;", "&amp;tblWeightOrFunction[[#This Row],[Gender]]</f>
        <v>-66kg, MALE</v>
      </c>
      <c r="B6" s="12" t="s">
        <v>57</v>
      </c>
      <c r="D6" s="19" t="s">
        <v>77</v>
      </c>
      <c r="E6" s="12">
        <v>66</v>
      </c>
      <c r="F6" s="12" t="s">
        <v>75</v>
      </c>
      <c r="G6" s="12">
        <v>2</v>
      </c>
      <c r="M6" s="16">
        <v>43737</v>
      </c>
      <c r="O6" s="16">
        <v>43739</v>
      </c>
      <c r="W6" s="12" t="str">
        <f>tblRoomPricesEJO[[#This Row],[Hotel]]&amp;", "&amp;tblRoomPricesEJO[[#This Row],[Size]]</f>
        <v>Alvisse, Double</v>
      </c>
      <c r="X6" s="12" t="str">
        <f>X5</f>
        <v>Alvisse</v>
      </c>
      <c r="Y6" s="12" t="str">
        <f>Y4</f>
        <v>Double</v>
      </c>
      <c r="Z6" s="17">
        <v>105</v>
      </c>
      <c r="AB6" s="12" t="str">
        <f>tblMealPricesEJO[[#This Row],[Hotel]]&amp;", "&amp;tblMealPricesEJO[[#This Row],[Meal]]</f>
        <v>Alvisse, +lunch</v>
      </c>
      <c r="AC6" s="12" t="str">
        <f>$U$12</f>
        <v>Alvisse</v>
      </c>
      <c r="AD6" s="12" t="str">
        <f>"+lunch"</f>
        <v>+lunch</v>
      </c>
      <c r="AE6" s="17">
        <v>15</v>
      </c>
      <c r="AG6" s="12" t="str">
        <f>tblRoomAndLodgings[[#This Row],[Room]]&amp;" / "&amp;tblRoomAndLodgings[[#This Row],[Lodging]]</f>
        <v>Single / FB</v>
      </c>
      <c r="AH6" s="12" t="s">
        <v>67</v>
      </c>
      <c r="AI6" s="12" t="str">
        <f>$Y$3</f>
        <v>Single</v>
      </c>
      <c r="AK6" s="12" t="str">
        <f>tblAccommodationCosts[[#This Row],[Hotel]]&amp;", "&amp;tblAccommodationCosts[[#This Row],[Size]]&amp;" / "&amp;tblAccommodationCosts[[#This Row],[Lodging]]</f>
        <v>Hilton, Single / full board</v>
      </c>
      <c r="AL6" s="12" t="str">
        <f t="shared" si="1"/>
        <v>Hilton</v>
      </c>
      <c r="AM6" s="12" t="str">
        <f t="shared" si="0"/>
        <v>Single</v>
      </c>
      <c r="AN6" s="20" t="str">
        <f>"full board"</f>
        <v>full board</v>
      </c>
      <c r="AO6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205</v>
      </c>
      <c r="AP6" s="17"/>
      <c r="AQ6" s="17" t="s">
        <v>69</v>
      </c>
      <c r="AS6" s="17">
        <v>20</v>
      </c>
    </row>
    <row r="7" spans="1:59">
      <c r="A7" s="12" t="str">
        <f>tblWeightOrFunction[[#This Row],[SubType1]]&amp;", "&amp;tblWeightOrFunction[[#This Row],[Gender]]</f>
        <v>-73kg, MALE</v>
      </c>
      <c r="B7" s="12" t="s">
        <v>57</v>
      </c>
      <c r="D7" s="19" t="s">
        <v>78</v>
      </c>
      <c r="E7" s="12">
        <v>73</v>
      </c>
      <c r="F7" s="12" t="s">
        <v>75</v>
      </c>
      <c r="G7" s="12">
        <v>3</v>
      </c>
      <c r="M7" s="16">
        <v>43738</v>
      </c>
      <c r="O7" s="16">
        <v>43740</v>
      </c>
      <c r="W7" s="12" t="str">
        <f>tblRoomPricesEJO[[#This Row],[Hotel]]&amp;", "&amp;tblRoomPricesEJO[[#This Row],[Size]]</f>
        <v>Ibis, Single</v>
      </c>
      <c r="X7" s="12" t="str">
        <f>$U$13</f>
        <v>Ibis</v>
      </c>
      <c r="Y7" s="12" t="str">
        <f t="shared" ref="Y7:Y8" si="2">Y5</f>
        <v>Single</v>
      </c>
      <c r="Z7" s="17">
        <v>110</v>
      </c>
      <c r="AB7" s="12" t="str">
        <f>tblMealPricesEJO[[#This Row],[Hotel]]&amp;", "&amp;tblMealPricesEJO[[#This Row],[Meal]]</f>
        <v>Alvisse, +dinner</v>
      </c>
      <c r="AC7" s="12" t="str">
        <f>AC6</f>
        <v>Alvisse</v>
      </c>
      <c r="AD7" s="12" t="str">
        <f>"+dinner"</f>
        <v>+dinner</v>
      </c>
      <c r="AE7" s="17">
        <v>20</v>
      </c>
      <c r="AG7" s="12" t="str">
        <f>tblRoomAndLodgings[[#This Row],[Room]]&amp;" / "&amp;tblRoomAndLodgings[[#This Row],[Lodging]]</f>
        <v>Double / BB</v>
      </c>
      <c r="AH7" s="12" t="str">
        <f>AH3</f>
        <v>BB</v>
      </c>
      <c r="AI7" s="12" t="str">
        <f t="shared" ref="AI7:AI10" si="3">$Y$4</f>
        <v>Double</v>
      </c>
      <c r="AK7" s="12" t="str">
        <f>tblAccommodationCosts[[#This Row],[Hotel]]&amp;", "&amp;tblAccommodationCosts[[#This Row],[Size]]&amp;" / "&amp;tblAccommodationCosts[[#This Row],[Lodging]]</f>
        <v>Hilton, Double / only breakfast</v>
      </c>
      <c r="AL7" s="12" t="str">
        <f t="shared" si="1"/>
        <v>Hilton</v>
      </c>
      <c r="AM7" s="12" t="str">
        <f t="shared" ref="AM7:AM10" si="4">$Y$4</f>
        <v>Double</v>
      </c>
      <c r="AN7" s="12" t="str">
        <f>AN3</f>
        <v>only breakfast</v>
      </c>
      <c r="AO7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115</v>
      </c>
      <c r="AP7" s="17"/>
      <c r="AQ7" s="17" t="s">
        <v>72</v>
      </c>
    </row>
    <row r="8" spans="1:59">
      <c r="A8" s="12" t="str">
        <f>tblWeightOrFunction[[#This Row],[SubType1]]&amp;", "&amp;tblWeightOrFunction[[#This Row],[Gender]]</f>
        <v>-81kg, MALE</v>
      </c>
      <c r="B8" s="12" t="s">
        <v>57</v>
      </c>
      <c r="D8" s="19" t="s">
        <v>79</v>
      </c>
      <c r="E8" s="12">
        <v>81</v>
      </c>
      <c r="F8" s="12" t="s">
        <v>75</v>
      </c>
      <c r="G8" s="12">
        <v>4</v>
      </c>
      <c r="M8" s="16"/>
      <c r="O8" s="16"/>
      <c r="S8" s="12" t="s">
        <v>109</v>
      </c>
      <c r="W8" s="12" t="str">
        <f>tblRoomPricesEJO[[#This Row],[Hotel]]&amp;", "&amp;tblRoomPricesEJO[[#This Row],[Size]]</f>
        <v>Ibis, Double</v>
      </c>
      <c r="X8" s="12" t="str">
        <f t="shared" ref="X8:X9" si="5">X7</f>
        <v>Ibis</v>
      </c>
      <c r="Y8" s="12" t="str">
        <f t="shared" si="2"/>
        <v>Double</v>
      </c>
      <c r="Z8" s="17">
        <v>95</v>
      </c>
      <c r="AB8" s="12" t="str">
        <f>tblMealPricesEJO[[#This Row],[Hotel]]&amp;", "&amp;tblMealPricesEJO[[#This Row],[Meal]]</f>
        <v>Alvisse, full board</v>
      </c>
      <c r="AC8" s="12" t="str">
        <f>AC7</f>
        <v>Alvisse</v>
      </c>
      <c r="AD8" s="20" t="str">
        <f>"full board"</f>
        <v>full board</v>
      </c>
      <c r="AE8" s="17">
        <f>AE7+AE6</f>
        <v>35</v>
      </c>
      <c r="AG8" s="12" t="str">
        <f>tblRoomAndLodgings[[#This Row],[Room]]&amp;" / "&amp;tblRoomAndLodgings[[#This Row],[Lodging]]</f>
        <v>Double / only Lunch</v>
      </c>
      <c r="AH8" s="12" t="str">
        <f t="shared" ref="AH8:AH14" si="6">AH4</f>
        <v>only Lunch</v>
      </c>
      <c r="AI8" s="12" t="str">
        <f t="shared" si="3"/>
        <v>Double</v>
      </c>
      <c r="AK8" s="12" t="str">
        <f>tblAccommodationCosts[[#This Row],[Hotel]]&amp;", "&amp;tblAccommodationCosts[[#This Row],[Size]]&amp;" / "&amp;tblAccommodationCosts[[#This Row],[Lodging]]</f>
        <v>Hilton, Double / +lunch</v>
      </c>
      <c r="AL8" s="12" t="str">
        <f t="shared" si="1"/>
        <v>Hilton</v>
      </c>
      <c r="AM8" s="12" t="str">
        <f t="shared" si="4"/>
        <v>Double</v>
      </c>
      <c r="AN8" s="12" t="str">
        <f t="shared" ref="AN8:AN30" si="7">AN4</f>
        <v>+lunch</v>
      </c>
      <c r="AO8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130</v>
      </c>
      <c r="AP8" s="17"/>
      <c r="AQ8" s="17" t="s">
        <v>73</v>
      </c>
      <c r="AS8" s="13" t="s">
        <v>100</v>
      </c>
    </row>
    <row r="9" spans="1:59">
      <c r="A9" s="12" t="str">
        <f>tblWeightOrFunction[[#This Row],[SubType1]]&amp;", "&amp;tblWeightOrFunction[[#This Row],[Gender]]</f>
        <v>-90kg, MALE</v>
      </c>
      <c r="B9" s="12" t="s">
        <v>57</v>
      </c>
      <c r="D9" s="19" t="s">
        <v>80</v>
      </c>
      <c r="E9" s="12">
        <v>90</v>
      </c>
      <c r="F9" s="12" t="s">
        <v>75</v>
      </c>
      <c r="G9" s="12">
        <v>5</v>
      </c>
      <c r="M9" s="16"/>
      <c r="O9" s="16"/>
      <c r="S9" s="12" t="s">
        <v>60</v>
      </c>
      <c r="W9" s="12" t="str">
        <f>tblRoomPricesEJO[[#This Row],[Hotel]]&amp;", "&amp;tblRoomPricesEJO[[#This Row],[Size]]</f>
        <v>Ibis, Triple</v>
      </c>
      <c r="X9" s="12" t="str">
        <f t="shared" si="5"/>
        <v>Ibis</v>
      </c>
      <c r="Y9" s="12" t="s">
        <v>163</v>
      </c>
      <c r="Z9" s="17">
        <v>80</v>
      </c>
      <c r="AB9" s="12" t="str">
        <f>tblMealPricesEJO[[#This Row],[Hotel]]&amp;", "&amp;tblMealPricesEJO[[#This Row],[Meal]]</f>
        <v>Ibis, +lunch</v>
      </c>
      <c r="AC9" s="12" t="str">
        <f>$U$13</f>
        <v>Ibis</v>
      </c>
      <c r="AD9" s="12" t="str">
        <f>"+lunch"</f>
        <v>+lunch</v>
      </c>
      <c r="AE9" s="17">
        <v>15</v>
      </c>
      <c r="AG9" s="12" t="str">
        <f>tblRoomAndLodgings[[#This Row],[Room]]&amp;" / "&amp;tblRoomAndLodgings[[#This Row],[Lodging]]</f>
        <v>Double / only Dinner</v>
      </c>
      <c r="AH9" s="12" t="str">
        <f t="shared" si="6"/>
        <v>only Dinner</v>
      </c>
      <c r="AI9" s="12" t="str">
        <f t="shared" si="3"/>
        <v>Double</v>
      </c>
      <c r="AK9" s="12" t="str">
        <f>tblAccommodationCosts[[#This Row],[Hotel]]&amp;", "&amp;tblAccommodationCosts[[#This Row],[Size]]&amp;" / "&amp;tblAccommodationCosts[[#This Row],[Lodging]]</f>
        <v>Hilton, Double / +dinner</v>
      </c>
      <c r="AL9" s="12" t="str">
        <f t="shared" si="1"/>
        <v>Hilton</v>
      </c>
      <c r="AM9" s="12" t="str">
        <f t="shared" si="4"/>
        <v>Double</v>
      </c>
      <c r="AN9" s="12" t="str">
        <f t="shared" si="7"/>
        <v>+dinner</v>
      </c>
      <c r="AO9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140</v>
      </c>
      <c r="AP9" s="17"/>
      <c r="AQ9" s="17"/>
      <c r="AS9" s="17">
        <v>100</v>
      </c>
    </row>
    <row r="10" spans="1:59">
      <c r="A10" s="12" t="str">
        <f>tblWeightOrFunction[[#This Row],[SubType1]]&amp;", "&amp;tblWeightOrFunction[[#This Row],[Gender]]</f>
        <v>-100kg, MALE</v>
      </c>
      <c r="B10" s="12" t="s">
        <v>57</v>
      </c>
      <c r="D10" s="19" t="s">
        <v>81</v>
      </c>
      <c r="E10" s="12">
        <v>100</v>
      </c>
      <c r="F10" s="12" t="s">
        <v>75</v>
      </c>
      <c r="G10" s="12">
        <v>6</v>
      </c>
      <c r="M10" s="16"/>
      <c r="O10" s="16"/>
      <c r="S10" s="12" t="s">
        <v>63</v>
      </c>
      <c r="U10" s="12" t="s">
        <v>99</v>
      </c>
      <c r="Z10" s="17"/>
      <c r="AB10" s="12" t="str">
        <f>tblMealPricesEJO[[#This Row],[Hotel]]&amp;", "&amp;tblMealPricesEJO[[#This Row],[Meal]]</f>
        <v>Ibis, +dinner</v>
      </c>
      <c r="AC10" s="12" t="str">
        <f>AC9</f>
        <v>Ibis</v>
      </c>
      <c r="AD10" s="12" t="str">
        <f>"+dinner"</f>
        <v>+dinner</v>
      </c>
      <c r="AE10" s="17">
        <v>15</v>
      </c>
      <c r="AG10" s="12" t="str">
        <f>tblRoomAndLodgings[[#This Row],[Room]]&amp;" / "&amp;tblRoomAndLodgings[[#This Row],[Lodging]]</f>
        <v>Double / FB</v>
      </c>
      <c r="AH10" s="12" t="str">
        <f t="shared" si="6"/>
        <v>FB</v>
      </c>
      <c r="AI10" s="12" t="str">
        <f t="shared" si="3"/>
        <v>Double</v>
      </c>
      <c r="AK10" s="12" t="str">
        <f>tblAccommodationCosts[[#This Row],[Hotel]]&amp;", "&amp;tblAccommodationCosts[[#This Row],[Size]]&amp;" / "&amp;tblAccommodationCosts[[#This Row],[Lodging]]</f>
        <v>Hilton, Double / full board</v>
      </c>
      <c r="AL10" s="12" t="str">
        <f t="shared" si="1"/>
        <v>Hilton</v>
      </c>
      <c r="AM10" s="12" t="str">
        <f t="shared" si="4"/>
        <v>Double</v>
      </c>
      <c r="AN10" s="12" t="str">
        <f t="shared" si="7"/>
        <v>full board</v>
      </c>
      <c r="AO10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155</v>
      </c>
      <c r="AP10" s="17"/>
      <c r="AQ10" s="17"/>
    </row>
    <row r="11" spans="1:59">
      <c r="A11" s="12" t="str">
        <f>tblWeightOrFunction[[#This Row],[SubType1]]&amp;", "&amp;tblWeightOrFunction[[#This Row],[Gender]]</f>
        <v>+100kg, MALE</v>
      </c>
      <c r="B11" s="12" t="s">
        <v>57</v>
      </c>
      <c r="D11" s="19" t="s">
        <v>82</v>
      </c>
      <c r="E11" s="12">
        <v>999</v>
      </c>
      <c r="F11" s="12" t="s">
        <v>75</v>
      </c>
      <c r="G11" s="12">
        <v>7</v>
      </c>
      <c r="M11" s="16"/>
      <c r="O11" s="16"/>
      <c r="S11" s="12" t="s">
        <v>163</v>
      </c>
      <c r="U11" s="12" t="s">
        <v>90</v>
      </c>
      <c r="Z11" s="17"/>
      <c r="AB11" s="12" t="str">
        <f>tblMealPricesEJO[[#This Row],[Hotel]]&amp;", "&amp;tblMealPricesEJO[[#This Row],[Meal]]</f>
        <v>Ibis, full board</v>
      </c>
      <c r="AC11" s="12" t="str">
        <f>AC10</f>
        <v>Ibis</v>
      </c>
      <c r="AD11" s="20" t="str">
        <f>"full board"</f>
        <v>full board</v>
      </c>
      <c r="AE11" s="17">
        <f>AE10+AE9</f>
        <v>30</v>
      </c>
      <c r="AG11" s="12" t="str">
        <f>tblRoomAndLodgings[[#This Row],[Room]]&amp;" / "&amp;tblRoomAndLodgings[[#This Row],[Lodging]]</f>
        <v>Shared / BB</v>
      </c>
      <c r="AH11" s="12" t="str">
        <f t="shared" si="6"/>
        <v>BB</v>
      </c>
      <c r="AI11" s="12" t="s">
        <v>71</v>
      </c>
      <c r="AK11" s="12" t="str">
        <f>tblAccommodationCosts[[#This Row],[Hotel]]&amp;", "&amp;tblAccommodationCosts[[#This Row],[Size]]&amp;" / "&amp;tblAccommodationCosts[[#This Row],[Lodging]]</f>
        <v>Alvisse, Single / only breakfast</v>
      </c>
      <c r="AL11" s="12" t="str">
        <f>$U$12</f>
        <v>Alvisse</v>
      </c>
      <c r="AM11" s="12" t="str">
        <f>$Y$3</f>
        <v>Single</v>
      </c>
      <c r="AN11" s="12" t="str">
        <f t="shared" si="7"/>
        <v>only breakfast</v>
      </c>
      <c r="AO11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140</v>
      </c>
      <c r="AP11" s="17"/>
      <c r="AQ11" s="17"/>
      <c r="AS11" s="13"/>
    </row>
    <row r="12" spans="1:59">
      <c r="A12" s="12" t="str">
        <f>tblWeightOrFunction[[#This Row],[SubType1]]&amp;", "&amp;tblWeightOrFunction[[#This Row],[Gender]]</f>
        <v>-48kg, FEMALE</v>
      </c>
      <c r="B12" s="12" t="s">
        <v>59</v>
      </c>
      <c r="C12" s="12" t="s">
        <v>1</v>
      </c>
      <c r="D12" s="19" t="s">
        <v>83</v>
      </c>
      <c r="E12" s="12">
        <v>48</v>
      </c>
      <c r="F12" s="12" t="s">
        <v>75</v>
      </c>
      <c r="G12" s="12">
        <v>8</v>
      </c>
      <c r="S12" s="12" t="s">
        <v>71</v>
      </c>
      <c r="U12" s="12" t="s">
        <v>91</v>
      </c>
      <c r="Z12" s="17"/>
      <c r="AB12" s="12" t="str">
        <f>tblMealPricesEJO[[#This Row],[Hotel]]&amp;", "&amp;tblMealPricesEJO[[#This Row],[Meal]]</f>
        <v>Hilton, only breakfast</v>
      </c>
      <c r="AC12" s="12" t="str">
        <f>U11</f>
        <v>Hilton</v>
      </c>
      <c r="AD12" s="20" t="str">
        <f>$S$23</f>
        <v>only breakfast</v>
      </c>
      <c r="AE12" s="17">
        <v>0</v>
      </c>
      <c r="AG12" s="22" t="str">
        <f>tblRoomAndLodgings[[#This Row],[Room]]&amp;" / "&amp;tblRoomAndLodgings[[#This Row],[Lodging]]</f>
        <v>Shared / only Lunch</v>
      </c>
      <c r="AH12" s="12" t="str">
        <f t="shared" si="6"/>
        <v>only Lunch</v>
      </c>
      <c r="AI12" s="12" t="s">
        <v>71</v>
      </c>
      <c r="AK12" s="12" t="str">
        <f>tblAccommodationCosts[[#This Row],[Hotel]]&amp;", "&amp;tblAccommodationCosts[[#This Row],[Size]]&amp;" / "&amp;tblAccommodationCosts[[#This Row],[Lodging]]</f>
        <v>Alvisse, Single / +lunch</v>
      </c>
      <c r="AL12" s="12" t="str">
        <f>AL11</f>
        <v>Alvisse</v>
      </c>
      <c r="AM12" s="12" t="str">
        <f t="shared" ref="AM12:AM14" si="8">$Y$3</f>
        <v>Single</v>
      </c>
      <c r="AN12" s="12" t="str">
        <f t="shared" si="7"/>
        <v>+lunch</v>
      </c>
      <c r="AO12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155</v>
      </c>
      <c r="AP12" s="17"/>
      <c r="AQ12" s="17"/>
      <c r="AS12" s="17"/>
    </row>
    <row r="13" spans="1:59">
      <c r="A13" s="12" t="str">
        <f>tblWeightOrFunction[[#This Row],[SubType1]]&amp;", "&amp;tblWeightOrFunction[[#This Row],[Gender]]</f>
        <v>-52kg, FEMALE</v>
      </c>
      <c r="B13" s="12" t="s">
        <v>59</v>
      </c>
      <c r="C13" s="12" t="s">
        <v>1</v>
      </c>
      <c r="D13" s="19" t="s">
        <v>84</v>
      </c>
      <c r="E13" s="12">
        <v>52</v>
      </c>
      <c r="F13" s="12" t="s">
        <v>75</v>
      </c>
      <c r="G13" s="12">
        <v>9</v>
      </c>
      <c r="U13" s="12" t="s">
        <v>92</v>
      </c>
      <c r="Z13" s="17"/>
      <c r="AB13" s="12" t="str">
        <f>tblMealPricesEJO[[#This Row],[Hotel]]&amp;", "&amp;tblMealPricesEJO[[#This Row],[Meal]]</f>
        <v>Alvisse, only breakfast</v>
      </c>
      <c r="AC13" s="12" t="str">
        <f t="shared" ref="AC13:AC14" si="9">U12</f>
        <v>Alvisse</v>
      </c>
      <c r="AD13" s="20" t="str">
        <f>$S$23</f>
        <v>only breakfast</v>
      </c>
      <c r="AE13" s="17">
        <v>0</v>
      </c>
      <c r="AG13" s="22" t="str">
        <f>tblRoomAndLodgings[[#This Row],[Room]]&amp;" / "&amp;tblRoomAndLodgings[[#This Row],[Lodging]]</f>
        <v>Shared / only Dinner</v>
      </c>
      <c r="AH13" s="12" t="str">
        <f t="shared" si="6"/>
        <v>only Dinner</v>
      </c>
      <c r="AI13" s="12" t="s">
        <v>71</v>
      </c>
      <c r="AK13" s="12" t="str">
        <f>tblAccommodationCosts[[#This Row],[Hotel]]&amp;", "&amp;tblAccommodationCosts[[#This Row],[Size]]&amp;" / "&amp;tblAccommodationCosts[[#This Row],[Lodging]]</f>
        <v>Alvisse, Single / +dinner</v>
      </c>
      <c r="AL13" s="12" t="str">
        <f t="shared" ref="AL13:AL30" si="10">AL12</f>
        <v>Alvisse</v>
      </c>
      <c r="AM13" s="12" t="str">
        <f t="shared" si="8"/>
        <v>Single</v>
      </c>
      <c r="AN13" s="12" t="str">
        <f t="shared" si="7"/>
        <v>+dinner</v>
      </c>
      <c r="AO13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160</v>
      </c>
      <c r="AP13" s="17"/>
      <c r="AQ13" s="17"/>
    </row>
    <row r="14" spans="1:59">
      <c r="A14" s="12" t="str">
        <f>tblWeightOrFunction[[#This Row],[SubType1]]&amp;", "&amp;tblWeightOrFunction[[#This Row],[Gender]]</f>
        <v>-57kg, FEMALE</v>
      </c>
      <c r="B14" s="12" t="s">
        <v>59</v>
      </c>
      <c r="C14" s="12" t="s">
        <v>1</v>
      </c>
      <c r="D14" s="19" t="s">
        <v>85</v>
      </c>
      <c r="E14" s="12">
        <v>57</v>
      </c>
      <c r="F14" s="12" t="s">
        <v>75</v>
      </c>
      <c r="G14" s="12">
        <v>10</v>
      </c>
      <c r="U14" s="12" t="s">
        <v>93</v>
      </c>
      <c r="Z14" s="17"/>
      <c r="AB14" s="12" t="str">
        <f>tblMealPricesEJO[[#This Row],[Hotel]]&amp;", "&amp;tblMealPricesEJO[[#This Row],[Meal]]</f>
        <v>Ibis, only breakfast</v>
      </c>
      <c r="AC14" s="12" t="str">
        <f t="shared" si="9"/>
        <v>Ibis</v>
      </c>
      <c r="AD14" s="20" t="str">
        <f>$S$23</f>
        <v>only breakfast</v>
      </c>
      <c r="AE14" s="17">
        <v>0</v>
      </c>
      <c r="AG14" s="22" t="str">
        <f>tblRoomAndLodgings[[#This Row],[Room]]&amp;" / "&amp;tblRoomAndLodgings[[#This Row],[Lodging]]</f>
        <v>Shared / FB</v>
      </c>
      <c r="AH14" s="12" t="str">
        <f t="shared" si="6"/>
        <v>FB</v>
      </c>
      <c r="AI14" s="12" t="s">
        <v>71</v>
      </c>
      <c r="AK14" s="12" t="str">
        <f>tblAccommodationCosts[[#This Row],[Hotel]]&amp;", "&amp;tblAccommodationCosts[[#This Row],[Size]]&amp;" / "&amp;tblAccommodationCosts[[#This Row],[Lodging]]</f>
        <v>Alvisse, Single / full board</v>
      </c>
      <c r="AL14" s="12" t="str">
        <f t="shared" si="10"/>
        <v>Alvisse</v>
      </c>
      <c r="AM14" s="12" t="str">
        <f t="shared" si="8"/>
        <v>Single</v>
      </c>
      <c r="AN14" s="12" t="str">
        <f t="shared" si="7"/>
        <v>full board</v>
      </c>
      <c r="AO14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175</v>
      </c>
      <c r="AP14" s="17"/>
      <c r="AQ14" s="17"/>
    </row>
    <row r="15" spans="1:59">
      <c r="A15" s="12" t="str">
        <f>tblWeightOrFunction[[#This Row],[SubType1]]&amp;", "&amp;tblWeightOrFunction[[#This Row],[Gender]]</f>
        <v>-63kg, FEMALE</v>
      </c>
      <c r="B15" s="12" t="s">
        <v>59</v>
      </c>
      <c r="C15" s="12" t="s">
        <v>1</v>
      </c>
      <c r="D15" s="19" t="s">
        <v>86</v>
      </c>
      <c r="E15" s="12">
        <v>63</v>
      </c>
      <c r="F15" s="12" t="s">
        <v>75</v>
      </c>
      <c r="G15" s="12">
        <v>11</v>
      </c>
      <c r="S15" s="12" t="s">
        <v>110</v>
      </c>
      <c r="U15" s="12" t="s">
        <v>117</v>
      </c>
      <c r="Z15" s="17"/>
      <c r="AC15" s="21"/>
      <c r="AD15" s="20"/>
      <c r="AE15" s="17"/>
      <c r="AG15" s="22"/>
      <c r="AK15" s="12" t="str">
        <f>tblAccommodationCosts[[#This Row],[Hotel]]&amp;", "&amp;tblAccommodationCosts[[#This Row],[Size]]&amp;" / "&amp;tblAccommodationCosts[[#This Row],[Lodging]]</f>
        <v>Alvisse, Double / only breakfast</v>
      </c>
      <c r="AL15" s="12" t="str">
        <f t="shared" si="10"/>
        <v>Alvisse</v>
      </c>
      <c r="AM15" s="12" t="str">
        <f t="shared" ref="AM15:AM18" si="11">$Y$4</f>
        <v>Double</v>
      </c>
      <c r="AN15" s="12" t="str">
        <f t="shared" si="7"/>
        <v>only breakfast</v>
      </c>
      <c r="AO15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105</v>
      </c>
      <c r="AP15" s="17"/>
      <c r="AQ15" s="17"/>
    </row>
    <row r="16" spans="1:59">
      <c r="A16" s="12" t="str">
        <f>tblWeightOrFunction[[#This Row],[SubType1]]&amp;", "&amp;tblWeightOrFunction[[#This Row],[Gender]]</f>
        <v>-70kg, FEMALE</v>
      </c>
      <c r="B16" s="12" t="s">
        <v>59</v>
      </c>
      <c r="C16" s="12" t="s">
        <v>1</v>
      </c>
      <c r="D16" s="19" t="s">
        <v>87</v>
      </c>
      <c r="E16" s="12">
        <v>70</v>
      </c>
      <c r="F16" s="12" t="s">
        <v>75</v>
      </c>
      <c r="G16" s="12">
        <v>12</v>
      </c>
      <c r="S16" s="12" t="s">
        <v>112</v>
      </c>
      <c r="Z16" s="17"/>
      <c r="AC16" s="21"/>
      <c r="AD16" s="20"/>
      <c r="AE16" s="17"/>
      <c r="AK16" s="12" t="str">
        <f>tblAccommodationCosts[[#This Row],[Hotel]]&amp;", "&amp;tblAccommodationCosts[[#This Row],[Size]]&amp;" / "&amp;tblAccommodationCosts[[#This Row],[Lodging]]</f>
        <v>Alvisse, Double / +lunch</v>
      </c>
      <c r="AL16" s="12" t="str">
        <f t="shared" si="10"/>
        <v>Alvisse</v>
      </c>
      <c r="AM16" s="12" t="str">
        <f t="shared" si="11"/>
        <v>Double</v>
      </c>
      <c r="AN16" s="12" t="str">
        <f t="shared" si="7"/>
        <v>+lunch</v>
      </c>
      <c r="AO16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120</v>
      </c>
      <c r="AP16" s="17"/>
      <c r="AQ16" s="17"/>
      <c r="AS16" s="17"/>
    </row>
    <row r="17" spans="1:43">
      <c r="A17" s="12" t="str">
        <f>tblWeightOrFunction[[#This Row],[SubType1]]&amp;", "&amp;tblWeightOrFunction[[#This Row],[Gender]]</f>
        <v>-78kg, FEMALE</v>
      </c>
      <c r="B17" s="12" t="s">
        <v>59</v>
      </c>
      <c r="C17" s="12" t="s">
        <v>1</v>
      </c>
      <c r="D17" s="19" t="s">
        <v>88</v>
      </c>
      <c r="E17" s="12">
        <v>78</v>
      </c>
      <c r="F17" s="12" t="s">
        <v>75</v>
      </c>
      <c r="G17" s="12">
        <v>13</v>
      </c>
      <c r="S17" s="19" t="s">
        <v>114</v>
      </c>
      <c r="AC17" s="21"/>
      <c r="AD17" s="20"/>
      <c r="AE17" s="17"/>
      <c r="AK17" s="12" t="str">
        <f>tblAccommodationCosts[[#This Row],[Hotel]]&amp;", "&amp;tblAccommodationCosts[[#This Row],[Size]]&amp;" / "&amp;tblAccommodationCosts[[#This Row],[Lodging]]</f>
        <v>Alvisse, Double / +dinner</v>
      </c>
      <c r="AL17" s="12" t="str">
        <f t="shared" si="10"/>
        <v>Alvisse</v>
      </c>
      <c r="AM17" s="12" t="str">
        <f t="shared" si="11"/>
        <v>Double</v>
      </c>
      <c r="AN17" s="12" t="str">
        <f t="shared" si="7"/>
        <v>+dinner</v>
      </c>
      <c r="AO17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125</v>
      </c>
      <c r="AP17" s="17"/>
      <c r="AQ17" s="17"/>
    </row>
    <row r="18" spans="1:43">
      <c r="A18" s="12" t="str">
        <f>tblWeightOrFunction[[#This Row],[SubType1]]&amp;", "&amp;tblWeightOrFunction[[#This Row],[Gender]]</f>
        <v>+78kg, FEMALE</v>
      </c>
      <c r="B18" s="12" t="s">
        <v>59</v>
      </c>
      <c r="C18" s="12" t="s">
        <v>1</v>
      </c>
      <c r="D18" s="19" t="s">
        <v>89</v>
      </c>
      <c r="E18" s="12">
        <v>999</v>
      </c>
      <c r="F18" s="12" t="s">
        <v>75</v>
      </c>
      <c r="G18" s="12">
        <v>14</v>
      </c>
      <c r="S18" s="19" t="s">
        <v>115</v>
      </c>
      <c r="U18" s="12" t="s">
        <v>107</v>
      </c>
      <c r="AC18" s="21"/>
      <c r="AD18" s="20"/>
      <c r="AE18" s="17"/>
      <c r="AK18" s="22" t="str">
        <f>tblAccommodationCosts[[#This Row],[Hotel]]&amp;", "&amp;tblAccommodationCosts[[#This Row],[Size]]&amp;" / "&amp;tblAccommodationCosts[[#This Row],[Lodging]]</f>
        <v>Alvisse, Double / full board</v>
      </c>
      <c r="AL18" s="12" t="str">
        <f t="shared" si="10"/>
        <v>Alvisse</v>
      </c>
      <c r="AM18" s="12" t="str">
        <f t="shared" si="11"/>
        <v>Double</v>
      </c>
      <c r="AN18" s="12" t="str">
        <f t="shared" si="7"/>
        <v>full board</v>
      </c>
      <c r="AO18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140</v>
      </c>
      <c r="AP18" s="17"/>
      <c r="AQ18" s="17"/>
    </row>
    <row r="19" spans="1:43" ht="16.2" thickBot="1">
      <c r="A19" s="22" t="str">
        <f>tblWeightOrFunction[[#This Row],[SubType1]]&amp;", "&amp;tblWeightOrFunction[[#This Row],[Gender]]</f>
        <v>Coach, MALE</v>
      </c>
      <c r="B19" s="15" t="s">
        <v>57</v>
      </c>
      <c r="D19" s="12" t="s">
        <v>58</v>
      </c>
      <c r="E19" s="12" t="str">
        <f>tblWeightOrFunction[[#This Row],[SubType1]]</f>
        <v>Coach</v>
      </c>
      <c r="F19" s="22" t="s">
        <v>145</v>
      </c>
      <c r="G19" s="12">
        <v>15</v>
      </c>
      <c r="Q19" s="24" t="s">
        <v>130</v>
      </c>
      <c r="S19" s="12" t="s">
        <v>111</v>
      </c>
      <c r="U19" s="12" t="str">
        <f>U11</f>
        <v>Hilton</v>
      </c>
      <c r="AK19" s="22" t="str">
        <f>tblAccommodationCosts[[#This Row],[Hotel]]&amp;", "&amp;tblAccommodationCosts[[#This Row],[Size]]&amp;" / "&amp;tblAccommodationCosts[[#This Row],[Lodging]]</f>
        <v>Ibis, Single / only breakfast</v>
      </c>
      <c r="AL19" s="12" t="str">
        <f>$U$13</f>
        <v>Ibis</v>
      </c>
      <c r="AM19" s="12" t="str">
        <f>$Y$3</f>
        <v>Single</v>
      </c>
      <c r="AN19" s="12" t="str">
        <f t="shared" si="7"/>
        <v>only breakfast</v>
      </c>
      <c r="AO19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110</v>
      </c>
      <c r="AP19" s="17"/>
    </row>
    <row r="20" spans="1:43" ht="16.2" thickTop="1">
      <c r="A20" s="22" t="str">
        <f>tblWeightOrFunction[[#This Row],[SubType1]]&amp;", "&amp;tblWeightOrFunction[[#This Row],[Gender]]</f>
        <v>Coach, FEMALE</v>
      </c>
      <c r="B20" s="12" t="s">
        <v>59</v>
      </c>
      <c r="D20" s="12" t="s">
        <v>58</v>
      </c>
      <c r="E20" s="12" t="str">
        <f>tblWeightOrFunction[[#This Row],[SubType1]]</f>
        <v>Coach</v>
      </c>
      <c r="F20" s="22" t="s">
        <v>145</v>
      </c>
      <c r="G20" s="12">
        <v>16</v>
      </c>
      <c r="Q20" s="25" t="s">
        <v>129</v>
      </c>
      <c r="U20" s="12" t="str">
        <f>U12</f>
        <v>Alvisse</v>
      </c>
      <c r="AK20" s="22" t="str">
        <f>tblAccommodationCosts[[#This Row],[Hotel]]&amp;", "&amp;tblAccommodationCosts[[#This Row],[Size]]&amp;" / "&amp;tblAccommodationCosts[[#This Row],[Lodging]]</f>
        <v>Ibis, Single / +lunch</v>
      </c>
      <c r="AL20" s="12" t="str">
        <f t="shared" si="10"/>
        <v>Ibis</v>
      </c>
      <c r="AM20" s="12" t="str">
        <f t="shared" ref="AM20:AM22" si="12">$Y$3</f>
        <v>Single</v>
      </c>
      <c r="AN20" s="12" t="str">
        <f t="shared" si="7"/>
        <v>+lunch</v>
      </c>
      <c r="AO20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125</v>
      </c>
      <c r="AP20" s="17"/>
    </row>
    <row r="21" spans="1:43">
      <c r="A21" s="22" t="str">
        <f>tblWeightOrFunction[[#This Row],[SubType1]]&amp;", "&amp;tblWeightOrFunction[[#This Row],[Gender]]</f>
        <v>Official, MALE</v>
      </c>
      <c r="B21" s="15" t="s">
        <v>57</v>
      </c>
      <c r="D21" s="12" t="s">
        <v>65</v>
      </c>
      <c r="E21" s="12" t="str">
        <f>tblWeightOrFunction[[#This Row],[SubType1]]</f>
        <v>Official</v>
      </c>
      <c r="F21" s="22" t="s">
        <v>145</v>
      </c>
      <c r="G21" s="12">
        <v>17</v>
      </c>
      <c r="U21" s="12" t="str">
        <f>U13</f>
        <v>Ibis</v>
      </c>
      <c r="AK21" s="22" t="str">
        <f>tblAccommodationCosts[[#This Row],[Hotel]]&amp;", "&amp;tblAccommodationCosts[[#This Row],[Size]]&amp;" / "&amp;tblAccommodationCosts[[#This Row],[Lodging]]</f>
        <v>Ibis, Single / +dinner</v>
      </c>
      <c r="AL21" s="12" t="str">
        <f t="shared" si="10"/>
        <v>Ibis</v>
      </c>
      <c r="AM21" s="12" t="str">
        <f t="shared" si="12"/>
        <v>Single</v>
      </c>
      <c r="AN21" s="12" t="str">
        <f t="shared" si="7"/>
        <v>+dinner</v>
      </c>
      <c r="AO21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125</v>
      </c>
    </row>
    <row r="22" spans="1:43">
      <c r="A22" s="22" t="str">
        <f>tblWeightOrFunction[[#This Row],[SubType1]]&amp;", "&amp;tblWeightOrFunction[[#This Row],[Gender]]</f>
        <v>Official, FEMALE</v>
      </c>
      <c r="B22" s="12" t="s">
        <v>59</v>
      </c>
      <c r="D22" s="12" t="s">
        <v>65</v>
      </c>
      <c r="E22" s="12" t="str">
        <f>tblWeightOrFunction[[#This Row],[SubType1]]</f>
        <v>Official</v>
      </c>
      <c r="F22" s="22" t="s">
        <v>145</v>
      </c>
      <c r="G22" s="12">
        <v>18</v>
      </c>
      <c r="S22" s="12" t="s">
        <v>113</v>
      </c>
      <c r="W22" s="251" t="s">
        <v>103</v>
      </c>
      <c r="X22" s="251"/>
      <c r="Y22" s="251"/>
      <c r="Z22" s="251"/>
      <c r="AB22" s="251" t="s">
        <v>137</v>
      </c>
      <c r="AC22" s="251"/>
      <c r="AD22" s="251"/>
      <c r="AE22" s="251"/>
      <c r="AK22" s="22" t="str">
        <f>tblAccommodationCosts[[#This Row],[Hotel]]&amp;", "&amp;tblAccommodationCosts[[#This Row],[Size]]&amp;" / "&amp;tblAccommodationCosts[[#This Row],[Lodging]]</f>
        <v>Ibis, Single / full board</v>
      </c>
      <c r="AL22" s="12" t="str">
        <f t="shared" si="10"/>
        <v>Ibis</v>
      </c>
      <c r="AM22" s="12" t="str">
        <f t="shared" si="12"/>
        <v>Single</v>
      </c>
      <c r="AN22" s="12" t="str">
        <f t="shared" si="7"/>
        <v>full board</v>
      </c>
      <c r="AO22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140</v>
      </c>
    </row>
    <row r="23" spans="1:43">
      <c r="A23" s="22" t="str">
        <f>tblWeightOrFunction[[#This Row],[SubType1]]&amp;", "&amp;tblWeightOrFunction[[#This Row],[Gender]]</f>
        <v>Medical, MALE</v>
      </c>
      <c r="B23" s="15" t="s">
        <v>57</v>
      </c>
      <c r="D23" s="12" t="s">
        <v>70</v>
      </c>
      <c r="E23" s="12" t="str">
        <f>tblWeightOrFunction[[#This Row],[SubType1]]</f>
        <v>Medical</v>
      </c>
      <c r="F23" s="22" t="s">
        <v>145</v>
      </c>
      <c r="G23" s="12">
        <v>19</v>
      </c>
      <c r="S23" s="12" t="s">
        <v>112</v>
      </c>
      <c r="W23" s="12" t="s">
        <v>47</v>
      </c>
      <c r="X23" s="12" t="s">
        <v>94</v>
      </c>
      <c r="Y23" s="12" t="s">
        <v>48</v>
      </c>
      <c r="Z23" s="12" t="s">
        <v>49</v>
      </c>
      <c r="AB23" s="12" t="s">
        <v>47</v>
      </c>
      <c r="AC23" s="12" t="s">
        <v>94</v>
      </c>
      <c r="AD23" s="12" t="s">
        <v>98</v>
      </c>
      <c r="AE23" s="12" t="s">
        <v>49</v>
      </c>
      <c r="AK23" s="22" t="str">
        <f>tblAccommodationCosts[[#This Row],[Hotel]]&amp;", "&amp;tblAccommodationCosts[[#This Row],[Size]]&amp;" / "&amp;tblAccommodationCosts[[#This Row],[Lodging]]</f>
        <v>Ibis, Double / only breakfast</v>
      </c>
      <c r="AL23" s="12" t="str">
        <f t="shared" si="10"/>
        <v>Ibis</v>
      </c>
      <c r="AM23" s="12" t="str">
        <f t="shared" ref="AM23:AM26" si="13">$Y$4</f>
        <v>Double</v>
      </c>
      <c r="AN23" s="12" t="str">
        <f t="shared" si="7"/>
        <v>only breakfast</v>
      </c>
      <c r="AO23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95</v>
      </c>
    </row>
    <row r="24" spans="1:43">
      <c r="A24" s="22" t="str">
        <f>tblWeightOrFunction[[#This Row],[SubType1]]&amp;", "&amp;tblWeightOrFunction[[#This Row],[Gender]]</f>
        <v>Medical, FEMALE</v>
      </c>
      <c r="B24" s="12" t="s">
        <v>59</v>
      </c>
      <c r="D24" s="12" t="s">
        <v>70</v>
      </c>
      <c r="E24" s="12" t="str">
        <f>tblWeightOrFunction[[#This Row],[SubType1]]</f>
        <v>Medical</v>
      </c>
      <c r="F24" s="22" t="s">
        <v>145</v>
      </c>
      <c r="G24" s="12">
        <v>20</v>
      </c>
      <c r="S24" s="12" t="s">
        <v>111</v>
      </c>
      <c r="W24" s="12" t="str">
        <f>tblRoomPricesTC[[#This Row],[Hotel]]&amp;", "&amp;tblRoomPricesTC[[#This Row],[Size]]</f>
        <v>Ibis, Single</v>
      </c>
      <c r="X24" s="12" t="str">
        <f>$U$13</f>
        <v>Ibis</v>
      </c>
      <c r="Y24" s="12" t="s">
        <v>60</v>
      </c>
      <c r="Z24" s="17">
        <v>110</v>
      </c>
      <c r="AB24" s="12" t="str">
        <f>tblMealPricesSunday[[#This Row],[Hotel]]&amp;", "&amp;tblMealPricesSunday[[#This Row],[Meal]]</f>
        <v>Hilton, +lunch</v>
      </c>
      <c r="AC24" s="12" t="str">
        <f>$U$11</f>
        <v>Hilton</v>
      </c>
      <c r="AD24" s="12" t="str">
        <f>"+lunch"</f>
        <v>+lunch</v>
      </c>
      <c r="AE24" s="17">
        <v>15</v>
      </c>
      <c r="AH24" s="17"/>
      <c r="AK24" s="22" t="str">
        <f>tblAccommodationCosts[[#This Row],[Hotel]]&amp;", "&amp;tblAccommodationCosts[[#This Row],[Size]]&amp;" / "&amp;tblAccommodationCosts[[#This Row],[Lodging]]</f>
        <v>Ibis, Double / +lunch</v>
      </c>
      <c r="AL24" s="12" t="str">
        <f t="shared" si="10"/>
        <v>Ibis</v>
      </c>
      <c r="AM24" s="12" t="str">
        <f t="shared" si="13"/>
        <v>Double</v>
      </c>
      <c r="AN24" s="12" t="str">
        <f t="shared" si="7"/>
        <v>+lunch</v>
      </c>
      <c r="AO24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110</v>
      </c>
    </row>
    <row r="25" spans="1:43">
      <c r="A25" s="22" t="str">
        <f>tblWeightOrFunction[[#This Row],[SubType1]]&amp;", "&amp;tblWeightOrFunction[[#This Row],[Gender]]</f>
        <v>Press, MALE</v>
      </c>
      <c r="B25" s="15" t="s">
        <v>57</v>
      </c>
      <c r="D25" s="12" t="s">
        <v>74</v>
      </c>
      <c r="E25" s="12" t="str">
        <f>tblWeightOrFunction[[#This Row],[SubType1]]</f>
        <v>Press</v>
      </c>
      <c r="F25" s="22" t="s">
        <v>145</v>
      </c>
      <c r="G25" s="12">
        <v>21</v>
      </c>
      <c r="W25" s="12" t="str">
        <f>tblRoomPricesTC[[#This Row],[Hotel]]&amp;", "&amp;tblRoomPricesTC[[#This Row],[Size]]</f>
        <v>Ibis, Double</v>
      </c>
      <c r="X25" s="12" t="str">
        <f t="shared" ref="X25:X26" si="14">X24</f>
        <v>Ibis</v>
      </c>
      <c r="Y25" s="12" t="s">
        <v>63</v>
      </c>
      <c r="Z25" s="17">
        <v>95</v>
      </c>
      <c r="AB25" s="12" t="str">
        <f>tblMealPricesSunday[[#This Row],[Hotel]]&amp;", "&amp;tblMealPricesSunday[[#This Row],[Meal]]</f>
        <v>Hilton, +dinner</v>
      </c>
      <c r="AC25" s="12" t="str">
        <f>AC24</f>
        <v>Hilton</v>
      </c>
      <c r="AD25" s="12" t="str">
        <f>"+dinner"</f>
        <v>+dinner</v>
      </c>
      <c r="AE25" s="17">
        <v>25</v>
      </c>
      <c r="AH25" s="17"/>
      <c r="AK25" s="22" t="str">
        <f>tblAccommodationCosts[[#This Row],[Hotel]]&amp;", "&amp;tblAccommodationCosts[[#This Row],[Size]]&amp;" / "&amp;tblAccommodationCosts[[#This Row],[Lodging]]</f>
        <v>Ibis, Double / +dinner</v>
      </c>
      <c r="AL25" s="12" t="str">
        <f t="shared" si="10"/>
        <v>Ibis</v>
      </c>
      <c r="AM25" s="12" t="str">
        <f t="shared" si="13"/>
        <v>Double</v>
      </c>
      <c r="AN25" s="12" t="str">
        <f t="shared" si="7"/>
        <v>+dinner</v>
      </c>
      <c r="AO25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110</v>
      </c>
    </row>
    <row r="26" spans="1:43">
      <c r="A26" s="22" t="str">
        <f>tblWeightOrFunction[[#This Row],[SubType1]]&amp;", "&amp;tblWeightOrFunction[[#This Row],[Gender]]</f>
        <v>Press, FEMALE</v>
      </c>
      <c r="B26" s="12" t="s">
        <v>59</v>
      </c>
      <c r="D26" s="12" t="s">
        <v>74</v>
      </c>
      <c r="E26" s="12" t="str">
        <f>tblWeightOrFunction[[#This Row],[SubType1]]</f>
        <v>Press</v>
      </c>
      <c r="F26" s="22" t="s">
        <v>145</v>
      </c>
      <c r="G26" s="12">
        <v>22</v>
      </c>
      <c r="U26" s="12" t="s">
        <v>108</v>
      </c>
      <c r="W26" s="12" t="str">
        <f>tblRoomPricesTC[[#This Row],[Hotel]]&amp;", "&amp;tblRoomPricesTC[[#This Row],[Size]]</f>
        <v>Ibis, Triple</v>
      </c>
      <c r="X26" s="12" t="str">
        <f t="shared" si="14"/>
        <v>Ibis</v>
      </c>
      <c r="Y26" s="12" t="s">
        <v>163</v>
      </c>
      <c r="Z26" s="17">
        <v>80</v>
      </c>
      <c r="AB26" s="12" t="str">
        <f>tblMealPricesSunday[[#This Row],[Hotel]]&amp;", "&amp;tblMealPricesSunday[[#This Row],[Meal]]</f>
        <v>Hilton, full board</v>
      </c>
      <c r="AC26" s="12" t="str">
        <f>AC25</f>
        <v>Hilton</v>
      </c>
      <c r="AD26" s="20" t="str">
        <f>"full board"</f>
        <v>full board</v>
      </c>
      <c r="AE26" s="17">
        <f>AE25+AE24</f>
        <v>40</v>
      </c>
      <c r="AK26" s="22" t="str">
        <f>tblAccommodationCosts[[#This Row],[Hotel]]&amp;", "&amp;tblAccommodationCosts[[#This Row],[Size]]&amp;" / "&amp;tblAccommodationCosts[[#This Row],[Lodging]]</f>
        <v>Ibis, Double / full board</v>
      </c>
      <c r="AL26" s="12" t="str">
        <f t="shared" si="10"/>
        <v>Ibis</v>
      </c>
      <c r="AM26" s="12" t="str">
        <f t="shared" si="13"/>
        <v>Double</v>
      </c>
      <c r="AN26" s="12" t="str">
        <f t="shared" si="7"/>
        <v>full board</v>
      </c>
      <c r="AO26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125</v>
      </c>
    </row>
    <row r="27" spans="1:43">
      <c r="A27" s="22"/>
      <c r="F27" s="22"/>
      <c r="U27" s="12" t="str">
        <f>U14</f>
        <v>Coque</v>
      </c>
      <c r="W27" s="12" t="str">
        <f>tblRoomPricesTC[[#This Row],[Hotel]]&amp;", "&amp;tblRoomPricesTC[[#This Row],[Size]]</f>
        <v>Coque, Single</v>
      </c>
      <c r="X27" s="12" t="str">
        <f>$U$14</f>
        <v>Coque</v>
      </c>
      <c r="Y27" s="12" t="s">
        <v>60</v>
      </c>
      <c r="Z27" s="17">
        <v>135</v>
      </c>
      <c r="AB27" s="12" t="str">
        <f>tblMealPricesSunday[[#This Row],[Hotel]]&amp;", "&amp;tblMealPricesSunday[[#This Row],[Meal]]</f>
        <v>Alvisse, +lunch</v>
      </c>
      <c r="AC27" s="12" t="str">
        <f>$U$12</f>
        <v>Alvisse</v>
      </c>
      <c r="AD27" s="12" t="str">
        <f>"+lunch"</f>
        <v>+lunch</v>
      </c>
      <c r="AE27" s="17">
        <v>15</v>
      </c>
      <c r="AK27" s="22" t="str">
        <f>tblAccommodationCosts[[#This Row],[Hotel]]&amp;", "&amp;tblAccommodationCosts[[#This Row],[Size]]&amp;" / "&amp;tblAccommodationCosts[[#This Row],[Lodging]]</f>
        <v>Ibis, Triple / only breakfast</v>
      </c>
      <c r="AL27" s="12" t="str">
        <f t="shared" si="10"/>
        <v>Ibis</v>
      </c>
      <c r="AM27" s="12" t="str">
        <f>$Y$9</f>
        <v>Triple</v>
      </c>
      <c r="AN27" s="12" t="str">
        <f t="shared" si="7"/>
        <v>only breakfast</v>
      </c>
      <c r="AO27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80</v>
      </c>
    </row>
    <row r="28" spans="1:43">
      <c r="A28" s="22"/>
      <c r="F28" s="22"/>
      <c r="U28" s="12" t="str">
        <f>U13</f>
        <v>Ibis</v>
      </c>
      <c r="W28" s="12" t="str">
        <f>tblRoomPricesTC[[#This Row],[Hotel]]&amp;", "&amp;tblRoomPricesTC[[#This Row],[Size]]</f>
        <v>Coque, Double</v>
      </c>
      <c r="X28" s="12" t="str">
        <f t="shared" ref="X28" si="15">X27</f>
        <v>Coque</v>
      </c>
      <c r="Y28" s="12" t="s">
        <v>63</v>
      </c>
      <c r="Z28" s="17">
        <v>105</v>
      </c>
      <c r="AB28" s="12" t="str">
        <f>tblMealPricesSunday[[#This Row],[Hotel]]&amp;", "&amp;tblMealPricesSunday[[#This Row],[Meal]]</f>
        <v>Alvisse, +dinner</v>
      </c>
      <c r="AC28" s="12" t="str">
        <f>AC27</f>
        <v>Alvisse</v>
      </c>
      <c r="AD28" s="12" t="str">
        <f>"+dinner"</f>
        <v>+dinner</v>
      </c>
      <c r="AE28" s="17">
        <v>20</v>
      </c>
      <c r="AK28" s="22" t="str">
        <f>tblAccommodationCosts[[#This Row],[Hotel]]&amp;", "&amp;tblAccommodationCosts[[#This Row],[Size]]&amp;" / "&amp;tblAccommodationCosts[[#This Row],[Lodging]]</f>
        <v>Ibis, Triple / +lunch</v>
      </c>
      <c r="AL28" s="12" t="str">
        <f t="shared" si="10"/>
        <v>Ibis</v>
      </c>
      <c r="AM28" s="12" t="str">
        <f t="shared" ref="AM28:AM30" si="16">$Y$9</f>
        <v>Triple</v>
      </c>
      <c r="AN28" s="12" t="str">
        <f t="shared" si="7"/>
        <v>+lunch</v>
      </c>
      <c r="AO28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95</v>
      </c>
    </row>
    <row r="29" spans="1:43">
      <c r="A29" s="22"/>
      <c r="F29" s="22"/>
      <c r="U29" s="12" t="str">
        <f>U15</f>
        <v>Hostel</v>
      </c>
      <c r="W29" s="12" t="str">
        <f>tblRoomPricesTC[[#This Row],[Hotel]]&amp;", "&amp;tblRoomPricesTC[[#This Row],[Size]]</f>
        <v>Hostel, Single</v>
      </c>
      <c r="X29" s="12" t="str">
        <f>$U$15</f>
        <v>Hostel</v>
      </c>
      <c r="Y29" s="12" t="s">
        <v>60</v>
      </c>
      <c r="Z29" s="17">
        <v>90</v>
      </c>
      <c r="AB29" s="12" t="str">
        <f>tblMealPricesSunday[[#This Row],[Hotel]]&amp;", "&amp;tblMealPricesSunday[[#This Row],[Meal]]</f>
        <v>Alvisse, full board</v>
      </c>
      <c r="AC29" s="12" t="str">
        <f>AC28</f>
        <v>Alvisse</v>
      </c>
      <c r="AD29" s="20" t="str">
        <f>"full board"</f>
        <v>full board</v>
      </c>
      <c r="AE29" s="17">
        <f>AE28+AE27</f>
        <v>35</v>
      </c>
      <c r="AK29" s="22" t="str">
        <f>tblAccommodationCosts[[#This Row],[Hotel]]&amp;", "&amp;tblAccommodationCosts[[#This Row],[Size]]&amp;" / "&amp;tblAccommodationCosts[[#This Row],[Lodging]]</f>
        <v>Ibis, Triple / +dinner</v>
      </c>
      <c r="AL29" s="12" t="str">
        <f t="shared" si="10"/>
        <v>Ibis</v>
      </c>
      <c r="AM29" s="12" t="str">
        <f t="shared" si="16"/>
        <v>Triple</v>
      </c>
      <c r="AN29" s="12" t="str">
        <f t="shared" si="7"/>
        <v>+dinner</v>
      </c>
      <c r="AO29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95</v>
      </c>
    </row>
    <row r="30" spans="1:43">
      <c r="A30" s="22"/>
      <c r="F30" s="22"/>
      <c r="W30" s="12" t="str">
        <f>tblRoomPricesTC[[#This Row],[Hotel]]&amp;", "&amp;tblRoomPricesTC[[#This Row],[Size]]</f>
        <v>Hostel, Double</v>
      </c>
      <c r="X30" s="12" t="str">
        <f t="shared" ref="X30:X31" si="17">X29</f>
        <v>Hostel</v>
      </c>
      <c r="Y30" s="12" t="s">
        <v>63</v>
      </c>
      <c r="Z30" s="17">
        <v>80</v>
      </c>
      <c r="AB30" s="12" t="str">
        <f>tblMealPricesSunday[[#This Row],[Hotel]]&amp;", "&amp;tblMealPricesSunday[[#This Row],[Meal]]</f>
        <v>Ibis, +lunch</v>
      </c>
      <c r="AC30" s="12" t="str">
        <f>$U$13</f>
        <v>Ibis</v>
      </c>
      <c r="AD30" s="12" t="str">
        <f>"+lunch"</f>
        <v>+lunch</v>
      </c>
      <c r="AE30" s="17">
        <v>15</v>
      </c>
      <c r="AK30" s="22" t="str">
        <f>tblAccommodationCosts[[#This Row],[Hotel]]&amp;", "&amp;tblAccommodationCosts[[#This Row],[Size]]&amp;" / "&amp;tblAccommodationCosts[[#This Row],[Lodging]]</f>
        <v>Ibis, Triple / full board</v>
      </c>
      <c r="AL30" s="12" t="str">
        <f t="shared" si="10"/>
        <v>Ibis</v>
      </c>
      <c r="AM30" s="12" t="str">
        <f t="shared" si="16"/>
        <v>Triple</v>
      </c>
      <c r="AN30" s="12" t="str">
        <f t="shared" si="7"/>
        <v>full board</v>
      </c>
      <c r="AO30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110</v>
      </c>
    </row>
    <row r="31" spans="1:43">
      <c r="A31" s="22"/>
      <c r="F31" s="22"/>
      <c r="W31" s="12" t="str">
        <f>tblRoomPricesTC[[#This Row],[Hotel]]&amp;", "&amp;tblRoomPricesTC[[#This Row],[Size]]</f>
        <v>Hostel, Shared</v>
      </c>
      <c r="X31" s="12" t="str">
        <f t="shared" si="17"/>
        <v>Hostel</v>
      </c>
      <c r="Y31" s="12" t="s">
        <v>71</v>
      </c>
      <c r="Z31" s="17">
        <v>65</v>
      </c>
      <c r="AB31" s="12" t="str">
        <f>tblMealPricesSunday[[#This Row],[Hotel]]&amp;", "&amp;tblMealPricesSunday[[#This Row],[Meal]]</f>
        <v>Ibis, +dinner</v>
      </c>
      <c r="AC31" s="12" t="str">
        <f>AC30</f>
        <v>Ibis</v>
      </c>
      <c r="AD31" s="12" t="str">
        <f>"+dinner"</f>
        <v>+dinner</v>
      </c>
      <c r="AE31" s="17">
        <v>15</v>
      </c>
      <c r="AK31" s="22" t="str">
        <f>tblAccommodationCosts[[#This Row],[Hotel]]&amp;", "&amp;tblAccommodationCosts[[#This Row],[Size]]&amp;" / "&amp;tblAccommodationCosts[[#This Row],[Lodging]]</f>
        <v>Coque, Single / BB</v>
      </c>
      <c r="AL31" s="12" t="str">
        <f>$U$14</f>
        <v>Coque</v>
      </c>
      <c r="AM31" s="12" t="str">
        <f>$Y$3</f>
        <v>Single</v>
      </c>
      <c r="AN31" s="12" t="s">
        <v>61</v>
      </c>
      <c r="AO31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32" spans="1:43">
      <c r="A32" s="22"/>
      <c r="F32" s="22"/>
      <c r="Z32" s="17"/>
      <c r="AB32" s="12" t="str">
        <f>tblMealPricesSunday[[#This Row],[Hotel]]&amp;", "&amp;tblMealPricesSunday[[#This Row],[Meal]]</f>
        <v>Ibis, full board</v>
      </c>
      <c r="AC32" s="12" t="str">
        <f>AC31</f>
        <v>Ibis</v>
      </c>
      <c r="AD32" s="20" t="str">
        <f>"full board"</f>
        <v>full board</v>
      </c>
      <c r="AE32" s="17">
        <f>AE31+AE30</f>
        <v>30</v>
      </c>
      <c r="AK32" s="22" t="str">
        <f>tblAccommodationCosts[[#This Row],[Hotel]]&amp;", "&amp;tblAccommodationCosts[[#This Row],[Size]]&amp;" / "&amp;tblAccommodationCosts[[#This Row],[Lodging]]</f>
        <v>Coque, Single / FB</v>
      </c>
      <c r="AL32" s="12" t="str">
        <f t="shared" ref="AL32:AL34" si="18">$U$14</f>
        <v>Coque</v>
      </c>
      <c r="AM32" s="12" t="str">
        <f t="shared" ref="AM32:AM36" si="19">$Y$3</f>
        <v>Single</v>
      </c>
      <c r="AN32" s="12" t="s">
        <v>67</v>
      </c>
      <c r="AO32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33" spans="1:41">
      <c r="A33" s="22"/>
      <c r="F33" s="22"/>
      <c r="Z33" s="17"/>
      <c r="AC33" s="21"/>
      <c r="AD33" s="20"/>
      <c r="AE33" s="17"/>
      <c r="AK33" s="22" t="str">
        <f>tblAccommodationCosts[[#This Row],[Hotel]]&amp;", "&amp;tblAccommodationCosts[[#This Row],[Size]]&amp;" / "&amp;tblAccommodationCosts[[#This Row],[Lodging]]</f>
        <v>Coque, Double / BB</v>
      </c>
      <c r="AL33" s="12" t="str">
        <f t="shared" si="18"/>
        <v>Coque</v>
      </c>
      <c r="AM33" s="12" t="str">
        <f t="shared" ref="AM33:AM38" si="20">$Y$4</f>
        <v>Double</v>
      </c>
      <c r="AN33" s="12" t="s">
        <v>61</v>
      </c>
      <c r="AO33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34" spans="1:41">
      <c r="A34" s="22"/>
      <c r="F34" s="22"/>
      <c r="Z34" s="17"/>
      <c r="AB34" s="12" t="str">
        <f>tblMealPricesSunday[[#This Row],[Hotel]]&amp;", "&amp;tblMealPricesSunday[[#This Row],[Meal]]</f>
        <v>Hostel, full board</v>
      </c>
      <c r="AC34" s="21" t="str">
        <f>$U$15</f>
        <v>Hostel</v>
      </c>
      <c r="AD34" s="20" t="str">
        <f>"full board"</f>
        <v>full board</v>
      </c>
      <c r="AE34" s="17">
        <v>30</v>
      </c>
      <c r="AK34" s="22" t="str">
        <f>tblAccommodationCosts[[#This Row],[Hotel]]&amp;", "&amp;tblAccommodationCosts[[#This Row],[Size]]&amp;" / "&amp;tblAccommodationCosts[[#This Row],[Lodging]]</f>
        <v>Coque, Double / FB</v>
      </c>
      <c r="AL34" s="12" t="str">
        <f t="shared" si="18"/>
        <v>Coque</v>
      </c>
      <c r="AM34" s="12" t="str">
        <f t="shared" si="20"/>
        <v>Double</v>
      </c>
      <c r="AN34" s="12" t="s">
        <v>67</v>
      </c>
      <c r="AO34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35" spans="1:41">
      <c r="A35" s="22"/>
      <c r="F35" s="22"/>
      <c r="W35" s="251" t="s">
        <v>104</v>
      </c>
      <c r="X35" s="251"/>
      <c r="Y35" s="251"/>
      <c r="Z35" s="251"/>
      <c r="AB35" s="12" t="str">
        <f>tblMealPricesSunday[[#This Row],[Hotel]]&amp;", "&amp;tblMealPricesSunday[[#This Row],[Meal]]</f>
        <v>Hilton, only breakfast</v>
      </c>
      <c r="AC35" s="12" t="str">
        <f>$U$11</f>
        <v>Hilton</v>
      </c>
      <c r="AD35" s="20" t="str">
        <f>$S$23</f>
        <v>only breakfast</v>
      </c>
      <c r="AE35" s="17">
        <v>0</v>
      </c>
      <c r="AK35" s="22" t="str">
        <f>tblAccommodationCosts[[#This Row],[Hotel]]&amp;", "&amp;tblAccommodationCosts[[#This Row],[Size]]&amp;" / "&amp;tblAccommodationCosts[[#This Row],[Lodging]]</f>
        <v>Hostel, Single / BB</v>
      </c>
      <c r="AL35" s="12" t="str">
        <f>$U$15</f>
        <v>Hostel</v>
      </c>
      <c r="AM35" s="12" t="str">
        <f>$Y$3</f>
        <v>Single</v>
      </c>
      <c r="AN35" s="12" t="s">
        <v>61</v>
      </c>
      <c r="AO35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36" spans="1:41">
      <c r="A36" s="22"/>
      <c r="D36" s="19"/>
      <c r="F36" s="22"/>
      <c r="W36" s="12" t="s">
        <v>47</v>
      </c>
      <c r="X36" s="12" t="s">
        <v>94</v>
      </c>
      <c r="Y36" s="12" t="s">
        <v>48</v>
      </c>
      <c r="Z36" s="12" t="s">
        <v>49</v>
      </c>
      <c r="AB36" s="12" t="str">
        <f>tblMealPricesSunday[[#This Row],[Hotel]]&amp;", "&amp;tblMealPricesSunday[[#This Row],[Meal]]</f>
        <v>Alvisse, only breakfast</v>
      </c>
      <c r="AC36" s="12" t="str">
        <f>$U$12</f>
        <v>Alvisse</v>
      </c>
      <c r="AD36" s="20" t="str">
        <f>$S$23</f>
        <v>only breakfast</v>
      </c>
      <c r="AE36" s="17">
        <v>0</v>
      </c>
      <c r="AK36" s="22" t="str">
        <f>tblAccommodationCosts[[#This Row],[Hotel]]&amp;", "&amp;tblAccommodationCosts[[#This Row],[Size]]&amp;" / "&amp;tblAccommodationCosts[[#This Row],[Lodging]]</f>
        <v>Hostel, Single / FB</v>
      </c>
      <c r="AL36" s="12" t="str">
        <f t="shared" ref="AL36:AL40" si="21">$U$15</f>
        <v>Hostel</v>
      </c>
      <c r="AM36" s="12" t="str">
        <f t="shared" si="19"/>
        <v>Single</v>
      </c>
      <c r="AN36" s="12" t="s">
        <v>67</v>
      </c>
      <c r="AO36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37" spans="1:41">
      <c r="W37" s="12" t="str">
        <f>tblRoomPricesSunday[[#This Row],[Hotel]]&amp;", "&amp;tblRoomPricesSunday[[#This Row],[Size]]</f>
        <v>Ibis, Single</v>
      </c>
      <c r="X37" s="12" t="str">
        <f>$U$13</f>
        <v>Ibis</v>
      </c>
      <c r="Y37" s="12" t="s">
        <v>60</v>
      </c>
      <c r="Z37" s="17">
        <v>110</v>
      </c>
      <c r="AB37" s="12" t="str">
        <f>tblMealPricesSunday[[#This Row],[Hotel]]&amp;", "&amp;tblMealPricesSunday[[#This Row],[Meal]]</f>
        <v>Ibis, only breakfast</v>
      </c>
      <c r="AC37" s="12" t="str">
        <f>$U$13</f>
        <v>Ibis</v>
      </c>
      <c r="AD37" s="20" t="str">
        <f>$S$23</f>
        <v>only breakfast</v>
      </c>
      <c r="AE37" s="17">
        <v>0</v>
      </c>
      <c r="AK37" s="22" t="str">
        <f>tblAccommodationCosts[[#This Row],[Hotel]]&amp;", "&amp;tblAccommodationCosts[[#This Row],[Size]]&amp;" / "&amp;tblAccommodationCosts[[#This Row],[Lodging]]</f>
        <v>Hostel, Double / BB</v>
      </c>
      <c r="AL37" s="12" t="str">
        <f t="shared" si="21"/>
        <v>Hostel</v>
      </c>
      <c r="AM37" s="12" t="str">
        <f t="shared" si="20"/>
        <v>Double</v>
      </c>
      <c r="AN37" s="12" t="s">
        <v>61</v>
      </c>
      <c r="AO37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38" spans="1:41">
      <c r="W38" s="12" t="str">
        <f>tblRoomPricesSunday[[#This Row],[Hotel]]&amp;", "&amp;tblRoomPricesSunday[[#This Row],[Size]]</f>
        <v>Ibis, Double</v>
      </c>
      <c r="X38" s="12" t="str">
        <f t="shared" ref="X38:X39" si="22">X37</f>
        <v>Ibis</v>
      </c>
      <c r="Y38" s="12" t="s">
        <v>63</v>
      </c>
      <c r="Z38" s="17">
        <v>95</v>
      </c>
      <c r="AC38" s="21"/>
      <c r="AD38" s="20"/>
      <c r="AE38" s="17"/>
      <c r="AK38" s="22" t="str">
        <f>tblAccommodationCosts[[#This Row],[Hotel]]&amp;", "&amp;tblAccommodationCosts[[#This Row],[Size]]&amp;" / "&amp;tblAccommodationCosts[[#This Row],[Lodging]]</f>
        <v>Hostel, Double / FB</v>
      </c>
      <c r="AL38" s="12" t="str">
        <f t="shared" si="21"/>
        <v>Hostel</v>
      </c>
      <c r="AM38" s="12" t="str">
        <f t="shared" si="20"/>
        <v>Double</v>
      </c>
      <c r="AN38" s="12" t="s">
        <v>67</v>
      </c>
      <c r="AO38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39" spans="1:41">
      <c r="W39" s="12" t="str">
        <f>tblRoomPricesSunday[[#This Row],[Hotel]]&amp;", "&amp;tblRoomPricesSunday[[#This Row],[Size]]</f>
        <v>Ibis, Triple</v>
      </c>
      <c r="X39" s="12" t="str">
        <f t="shared" si="22"/>
        <v>Ibis</v>
      </c>
      <c r="Y39" s="12" t="s">
        <v>163</v>
      </c>
      <c r="Z39" s="17">
        <v>80</v>
      </c>
      <c r="AB39" s="12" t="str">
        <f>tblMealPricesSunday[[#This Row],[Hotel]]&amp;", "&amp;tblMealPricesSunday[[#This Row],[Meal]]</f>
        <v>Hostel, only breakfast</v>
      </c>
      <c r="AC39" s="21" t="str">
        <f>$U$15</f>
        <v>Hostel</v>
      </c>
      <c r="AD39" s="20" t="str">
        <f>$S$23</f>
        <v>only breakfast</v>
      </c>
      <c r="AE39" s="17">
        <v>0</v>
      </c>
      <c r="AK39" s="22" t="str">
        <f>tblAccommodationCosts[[#This Row],[Hotel]]&amp;", "&amp;tblAccommodationCosts[[#This Row],[Size]]&amp;" / "&amp;tblAccommodationCosts[[#This Row],[Lodging]]</f>
        <v>Hostel, Triple / BB</v>
      </c>
      <c r="AL39" s="12" t="str">
        <f t="shared" si="21"/>
        <v>Hostel</v>
      </c>
      <c r="AM39" s="12" t="str">
        <f>$Y$9</f>
        <v>Triple</v>
      </c>
      <c r="AN39" s="12" t="s">
        <v>61</v>
      </c>
      <c r="AO39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40" spans="1:41">
      <c r="W40" s="12" t="str">
        <f>tblRoomPricesSunday[[#This Row],[Hotel]]&amp;", "&amp;tblRoomPricesSunday[[#This Row],[Size]]</f>
        <v>Coque, Single</v>
      </c>
      <c r="X40" s="12" t="str">
        <f>$U$14</f>
        <v>Coque</v>
      </c>
      <c r="Y40" s="12" t="s">
        <v>60</v>
      </c>
      <c r="Z40" s="17">
        <v>135</v>
      </c>
      <c r="AK40" s="22" t="str">
        <f>tblAccommodationCosts[[#This Row],[Hotel]]&amp;", "&amp;tblAccommodationCosts[[#This Row],[Size]]&amp;" / "&amp;tblAccommodationCosts[[#This Row],[Lodging]]</f>
        <v>Hostel, Triple / FB</v>
      </c>
      <c r="AL40" s="12" t="str">
        <f t="shared" si="21"/>
        <v>Hostel</v>
      </c>
      <c r="AM40" s="12" t="str">
        <f t="shared" ref="AM40" si="23">$Y$9</f>
        <v>Triple</v>
      </c>
      <c r="AN40" s="12" t="s">
        <v>67</v>
      </c>
      <c r="AO40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41" spans="1:41">
      <c r="W41" s="12" t="str">
        <f>tblRoomPricesSunday[[#This Row],[Hotel]]&amp;", "&amp;tblRoomPricesSunday[[#This Row],[Size]]</f>
        <v>Coque, Double</v>
      </c>
      <c r="X41" s="12" t="str">
        <f t="shared" ref="X41" si="24">X40</f>
        <v>Coque</v>
      </c>
      <c r="Y41" s="12" t="s">
        <v>63</v>
      </c>
      <c r="Z41" s="17">
        <v>105</v>
      </c>
      <c r="AK41" s="22"/>
      <c r="AO41" s="17"/>
    </row>
    <row r="42" spans="1:41">
      <c r="W42" s="12" t="str">
        <f>tblRoomPricesSunday[[#This Row],[Hotel]]&amp;", "&amp;tblRoomPricesSunday[[#This Row],[Size]]</f>
        <v>Hostel, Single</v>
      </c>
      <c r="X42" s="12" t="str">
        <f>$U$15</f>
        <v>Hostel</v>
      </c>
      <c r="Y42" s="12" t="s">
        <v>60</v>
      </c>
      <c r="Z42" s="17">
        <v>90</v>
      </c>
      <c r="AB42" s="251" t="s">
        <v>138</v>
      </c>
      <c r="AC42" s="251"/>
      <c r="AD42" s="251"/>
      <c r="AE42" s="251"/>
      <c r="AK42" s="22"/>
      <c r="AO42" s="17"/>
    </row>
    <row r="43" spans="1:41">
      <c r="W43" s="12" t="str">
        <f>tblRoomPricesSunday[[#This Row],[Hotel]]&amp;", "&amp;tblRoomPricesSunday[[#This Row],[Size]]</f>
        <v>Hostel, Double</v>
      </c>
      <c r="X43" s="12" t="str">
        <f t="shared" ref="X43:X44" si="25">X42</f>
        <v>Hostel</v>
      </c>
      <c r="Y43" s="12" t="s">
        <v>63</v>
      </c>
      <c r="Z43" s="17">
        <v>80</v>
      </c>
      <c r="AB43" s="12" t="s">
        <v>47</v>
      </c>
      <c r="AC43" s="12" t="s">
        <v>94</v>
      </c>
      <c r="AD43" s="12" t="s">
        <v>98</v>
      </c>
      <c r="AE43" s="12" t="s">
        <v>49</v>
      </c>
      <c r="AK43" s="22"/>
      <c r="AO43" s="17"/>
    </row>
    <row r="44" spans="1:41">
      <c r="W44" s="12" t="str">
        <f>tblRoomPricesSunday[[#This Row],[Hotel]]&amp;", "&amp;tblRoomPricesSunday[[#This Row],[Size]]</f>
        <v>Hostel, Shared</v>
      </c>
      <c r="X44" s="12" t="str">
        <f t="shared" si="25"/>
        <v>Hostel</v>
      </c>
      <c r="Y44" s="12" t="s">
        <v>71</v>
      </c>
      <c r="Z44" s="17">
        <v>65</v>
      </c>
      <c r="AB44" s="12" t="str">
        <f>tblMealPricesEJUTC[[#This Row],[Hotel]]&amp;", "&amp;tblMealPricesEJUTC[[#This Row],[Meal]]</f>
        <v>Coque, full board</v>
      </c>
      <c r="AC44" s="12" t="str">
        <f>U27</f>
        <v>Coque</v>
      </c>
      <c r="AD44" s="12" t="s">
        <v>111</v>
      </c>
      <c r="AE44" s="17">
        <v>40</v>
      </c>
    </row>
    <row r="45" spans="1:41">
      <c r="W45" s="12" t="str">
        <f>tblRoomPricesSunday[[#This Row],[Hotel]]&amp;", "&amp;tblRoomPricesSunday[[#This Row],[Size]]</f>
        <v>Hilton, Single</v>
      </c>
      <c r="X45" s="12" t="str">
        <f>$U$11</f>
        <v>Hilton</v>
      </c>
      <c r="Y45" s="12" t="s">
        <v>60</v>
      </c>
      <c r="Z45" s="17">
        <v>165</v>
      </c>
      <c r="AB45" s="12" t="str">
        <f>tblMealPricesEJUTC[[#This Row],[Hotel]]&amp;", "&amp;tblMealPricesEJUTC[[#This Row],[Meal]]</f>
        <v>Ibis, full board</v>
      </c>
      <c r="AC45" s="12" t="str">
        <f t="shared" ref="AC45:AC46" si="26">U28</f>
        <v>Ibis</v>
      </c>
      <c r="AD45" s="12" t="s">
        <v>111</v>
      </c>
      <c r="AE45" s="17">
        <v>40</v>
      </c>
    </row>
    <row r="46" spans="1:41">
      <c r="W46" s="12" t="str">
        <f>tblRoomPricesSunday[[#This Row],[Hotel]]&amp;", "&amp;tblRoomPricesSunday[[#This Row],[Size]]</f>
        <v>Hilton, Double</v>
      </c>
      <c r="X46" s="12" t="str">
        <f>X45</f>
        <v>Hilton</v>
      </c>
      <c r="Y46" s="12" t="s">
        <v>63</v>
      </c>
      <c r="Z46" s="17">
        <v>115</v>
      </c>
      <c r="AB46" s="12" t="str">
        <f>tblMealPricesEJUTC[[#This Row],[Hotel]]&amp;", "&amp;tblMealPricesEJUTC[[#This Row],[Meal]]</f>
        <v>Hostel, full board</v>
      </c>
      <c r="AC46" s="12" t="str">
        <f t="shared" si="26"/>
        <v>Hostel</v>
      </c>
      <c r="AD46" s="12" t="s">
        <v>111</v>
      </c>
      <c r="AE46" s="17">
        <v>30</v>
      </c>
    </row>
    <row r="47" spans="1:41">
      <c r="W47" s="12" t="str">
        <f>tblRoomPricesSunday[[#This Row],[Hotel]]&amp;", "&amp;tblRoomPricesSunday[[#This Row],[Size]]</f>
        <v>Alvisse, Single</v>
      </c>
      <c r="X47" s="12" t="str">
        <f>$U$12</f>
        <v>Alvisse</v>
      </c>
      <c r="Y47" s="12" t="str">
        <f>Y45</f>
        <v>Single</v>
      </c>
      <c r="Z47" s="17">
        <v>140</v>
      </c>
      <c r="AB47" s="12" t="str">
        <f>tblMealPricesEJUTC[[#This Row],[Hotel]]&amp;", "&amp;tblMealPricesEJUTC[[#This Row],[Meal]]</f>
        <v>Coque, only breakfast</v>
      </c>
      <c r="AC47" s="12" t="str">
        <f>AC44</f>
        <v>Coque</v>
      </c>
      <c r="AD47" s="20" t="str">
        <f>$S$23</f>
        <v>only breakfast</v>
      </c>
      <c r="AE47" s="17">
        <v>0</v>
      </c>
    </row>
    <row r="48" spans="1:41">
      <c r="W48" s="12" t="str">
        <f>tblRoomPricesSunday[[#This Row],[Hotel]]&amp;", "&amp;tblRoomPricesSunday[[#This Row],[Size]]</f>
        <v>Alvisse, Double</v>
      </c>
      <c r="X48" s="12" t="str">
        <f>X47</f>
        <v>Alvisse</v>
      </c>
      <c r="Y48" s="12" t="str">
        <f>Y46</f>
        <v>Double</v>
      </c>
      <c r="Z48" s="17">
        <v>105</v>
      </c>
      <c r="AB48" s="12" t="str">
        <f>tblMealPricesEJUTC[[#This Row],[Hotel]]&amp;", "&amp;tblMealPricesEJUTC[[#This Row],[Meal]]</f>
        <v>Ibis, only breakfast</v>
      </c>
      <c r="AC48" s="12" t="str">
        <f t="shared" ref="AC48:AC49" si="27">AC45</f>
        <v>Ibis</v>
      </c>
      <c r="AD48" s="20" t="str">
        <f>$S$23</f>
        <v>only breakfast</v>
      </c>
      <c r="AE48" s="17">
        <v>0</v>
      </c>
    </row>
    <row r="49" spans="28:31">
      <c r="AB49" s="12" t="str">
        <f>tblMealPricesEJUTC[[#This Row],[Hotel]]&amp;", "&amp;tblMealPricesEJUTC[[#This Row],[Meal]]</f>
        <v>Hostel, only breakfast</v>
      </c>
      <c r="AC49" s="12" t="str">
        <f t="shared" si="27"/>
        <v>Hostel</v>
      </c>
      <c r="AD49" s="20" t="str">
        <f>$S$23</f>
        <v>only breakfast</v>
      </c>
      <c r="AE49" s="17">
        <v>0</v>
      </c>
    </row>
    <row r="50" spans="28:31">
      <c r="AE50" s="17"/>
    </row>
    <row r="51" spans="28:31">
      <c r="AE51" s="17"/>
    </row>
    <row r="52" spans="28:31">
      <c r="AD52" s="20"/>
      <c r="AE52" s="17"/>
    </row>
    <row r="53" spans="28:31">
      <c r="AD53" s="20"/>
      <c r="AE53" s="17"/>
    </row>
    <row r="54" spans="28:31">
      <c r="AD54" s="20"/>
      <c r="AE54" s="17"/>
    </row>
    <row r="55" spans="28:31">
      <c r="AD55" s="20"/>
      <c r="AE55" s="17"/>
    </row>
  </sheetData>
  <sheetProtection selectLockedCells="1"/>
  <mergeCells count="12">
    <mergeCell ref="AK1:AO1"/>
    <mergeCell ref="AW1:AZ1"/>
    <mergeCell ref="AW2:AZ2"/>
    <mergeCell ref="AV3:AV4"/>
    <mergeCell ref="AB42:AE42"/>
    <mergeCell ref="W35:Z35"/>
    <mergeCell ref="A1:G1"/>
    <mergeCell ref="W1:Z1"/>
    <mergeCell ref="AB1:AE1"/>
    <mergeCell ref="AG1:AI1"/>
    <mergeCell ref="AB22:AE22"/>
    <mergeCell ref="W22:Z22"/>
  </mergeCells>
  <phoneticPr fontId="13" type="noConversion"/>
  <pageMargins left="0.7" right="0.7" top="0.75" bottom="0.75" header="0.3" footer="0.3"/>
  <pageSetup paperSize="9" orientation="portrait" r:id="rId1"/>
  <tableParts count="2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58</vt:i4>
      </vt:variant>
    </vt:vector>
  </HeadingPairs>
  <TitlesOfParts>
    <vt:vector size="63" baseType="lpstr">
      <vt:lpstr>Data entry form</vt:lpstr>
      <vt:lpstr>Check your data</vt:lpstr>
      <vt:lpstr>Proforma Invoice</vt:lpstr>
      <vt:lpstr>Invoice</vt:lpstr>
      <vt:lpstr>Parameters</vt:lpstr>
      <vt:lpstr>Parameters!AccreditationFee</vt:lpstr>
      <vt:lpstr>AJU</vt:lpstr>
      <vt:lpstr>Alvisse</vt:lpstr>
      <vt:lpstr>ContFede</vt:lpstr>
      <vt:lpstr>Coque</vt:lpstr>
      <vt:lpstr>Parameters!EJU</vt:lpstr>
      <vt:lpstr>Parameters!EJUEntryFee</vt:lpstr>
      <vt:lpstr>Error1</vt:lpstr>
      <vt:lpstr>Federation</vt:lpstr>
      <vt:lpstr>Hilton</vt:lpstr>
      <vt:lpstr>Hostel</vt:lpstr>
      <vt:lpstr>HotelEJO</vt:lpstr>
      <vt:lpstr>HotelTC</vt:lpstr>
      <vt:lpstr>Ibis</vt:lpstr>
      <vt:lpstr>JUA</vt:lpstr>
      <vt:lpstr>Invoice!lstArrivalDate</vt:lpstr>
      <vt:lpstr>lstArrivalDate</vt:lpstr>
      <vt:lpstr>Invoice!lstContinent</vt:lpstr>
      <vt:lpstr>lstContinent</vt:lpstr>
      <vt:lpstr>Invoice!lstDepartureDate</vt:lpstr>
      <vt:lpstr>lstDepartureDate</vt:lpstr>
      <vt:lpstr>Invoice!lstHotels</vt:lpstr>
      <vt:lpstr>lstHotels</vt:lpstr>
      <vt:lpstr>Invoice!lstHotelsEJO</vt:lpstr>
      <vt:lpstr>lstHotelsEJO</vt:lpstr>
      <vt:lpstr>Invoice!lstHotelsTC</vt:lpstr>
      <vt:lpstr>lstHotelsTC</vt:lpstr>
      <vt:lpstr>Invoice!lstLocomotionType</vt:lpstr>
      <vt:lpstr>lstLocomotionType</vt:lpstr>
      <vt:lpstr>Invoice!lstMealTypesEJO</vt:lpstr>
      <vt:lpstr>lstMealTypesEJO</vt:lpstr>
      <vt:lpstr>Invoice!lstMealTypesTC</vt:lpstr>
      <vt:lpstr>lstMealTypesTC</vt:lpstr>
      <vt:lpstr>Invoice!lstRoomAndLodging</vt:lpstr>
      <vt:lpstr>lstRoomAndLodging</vt:lpstr>
      <vt:lpstr>Invoice!lstRoomPricesEJO</vt:lpstr>
      <vt:lpstr>lstRoomPricesEJO</vt:lpstr>
      <vt:lpstr>Invoice!lstRoomPricesSunda</vt:lpstr>
      <vt:lpstr>lstRoomPricesSunda</vt:lpstr>
      <vt:lpstr>Invoice!lstRoomPricesTC</vt:lpstr>
      <vt:lpstr>lstRoomPricesTC</vt:lpstr>
      <vt:lpstr>Invoice!lstRoomTypes</vt:lpstr>
      <vt:lpstr>lstRoomTypes</vt:lpstr>
      <vt:lpstr>Invoice!lstTravelLocation</vt:lpstr>
      <vt:lpstr>lstTravelLocation</vt:lpstr>
      <vt:lpstr>Invoice!lstWeightOrFunctionCategory</vt:lpstr>
      <vt:lpstr>lstWeightOrFunctionCategory</vt:lpstr>
      <vt:lpstr>Invoice!lstYesNo</vt:lpstr>
      <vt:lpstr>lstYesNo</vt:lpstr>
      <vt:lpstr>OJU</vt:lpstr>
      <vt:lpstr>Other</vt:lpstr>
      <vt:lpstr>PJC</vt:lpstr>
      <vt:lpstr>SelectedCategory</vt:lpstr>
      <vt:lpstr>tblData</vt:lpstr>
      <vt:lpstr>TCAccredFee</vt:lpstr>
      <vt:lpstr>TCAccreditationFee</vt:lpstr>
      <vt:lpstr>Parameters!TCFeeEJU</vt:lpstr>
      <vt:lpstr>Parameters!TCFeeNonEJU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Registration Form EJO LUX 2019</dc:title>
  <dc:subject>EJOpen LUX 2019</dc:subject>
  <dc:creator>Denis Barboni</dc:creator>
  <cp:lastModifiedBy>Denis Barboni</cp:lastModifiedBy>
  <cp:lastPrinted>2019-07-11T09:16:04Z</cp:lastPrinted>
  <dcterms:created xsi:type="dcterms:W3CDTF">2015-06-05T18:19:34Z</dcterms:created>
  <dcterms:modified xsi:type="dcterms:W3CDTF">2019-08-05T13:13:33Z</dcterms:modified>
</cp:coreProperties>
</file>